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 Design" sheetId="1" r:id="rId5"/>
    <sheet state="visible" name="MED" sheetId="2" r:id="rId6"/>
    <sheet state="visible" name="MED - Key Values" sheetId="3" r:id="rId7"/>
    <sheet state="visible" name="MED - Parameterization" sheetId="4" r:id="rId8"/>
    <sheet state="visible" name="SLTD" sheetId="5" r:id="rId9"/>
    <sheet state="visible" name="SLTD Key Values" sheetId="6" r:id="rId10"/>
    <sheet state="visible" name="SLTD - Parameterization" sheetId="7" r:id="rId11"/>
    <sheet state="visible" name="LCOW_Inputs" sheetId="8" r:id="rId12"/>
    <sheet state="visible" name="LCOW_Base" sheetId="9" r:id="rId13"/>
    <sheet state="visible" name="LCOW_Param_MED" sheetId="10" r:id="rId14"/>
    <sheet state="visible" name="LCOW_RO" sheetId="11" r:id="rId15"/>
  </sheets>
  <definedNames/>
  <calcPr/>
</workbook>
</file>

<file path=xl/sharedStrings.xml><?xml version="1.0" encoding="utf-8"?>
<sst xmlns="http://schemas.openxmlformats.org/spreadsheetml/2006/main" count="468" uniqueCount="214">
  <si>
    <t>Region</t>
  </si>
  <si>
    <t>Description</t>
  </si>
  <si>
    <t>State Point</t>
  </si>
  <si>
    <t>T [C]</t>
  </si>
  <si>
    <t>P [kPa]</t>
  </si>
  <si>
    <t>s [kJ/kg]</t>
  </si>
  <si>
    <t>h [kJ/kg]</t>
  </si>
  <si>
    <t>φ [kJ/kg]</t>
  </si>
  <si>
    <t>x [-]</t>
  </si>
  <si>
    <t>Salinity [g/kg]</t>
  </si>
  <si>
    <t>Notes</t>
  </si>
  <si>
    <t>Nuclear Reactor</t>
  </si>
  <si>
    <t>Reactor-side leaving steam gen</t>
  </si>
  <si>
    <t>Primary pump, Ideal</t>
  </si>
  <si>
    <t>Primary pump, Real</t>
  </si>
  <si>
    <t>Reactor-side entering steam gen</t>
  </si>
  <si>
    <t>Interloop (electricity generation)</t>
  </si>
  <si>
    <t>Interloop-side leaving condenser</t>
  </si>
  <si>
    <t>Feed pump, Ideal</t>
  </si>
  <si>
    <t>Interloop-side leaving steam gen</t>
  </si>
  <si>
    <t>Turbine, Ideal</t>
  </si>
  <si>
    <t>Turbine, Real</t>
  </si>
  <si>
    <t>Effect No.1</t>
  </si>
  <si>
    <t>Evaporator, Hot In (NPP-side)</t>
  </si>
  <si>
    <t>Evaporator, Hot Out (NPP-side)</t>
  </si>
  <si>
    <t>Economizer, Hot Out (NPP-side)</t>
  </si>
  <si>
    <t>Seawater Intake</t>
  </si>
  <si>
    <t>Economizer, Cold Out</t>
  </si>
  <si>
    <t>Evaporator, Freshwater Steam Out</t>
  </si>
  <si>
    <t>Evaporator, Brine Out</t>
  </si>
  <si>
    <t>Evaporator, Hot In</t>
  </si>
  <si>
    <t>Evaporator, Hot Out</t>
  </si>
  <si>
    <t>Economizer, Hot Out</t>
  </si>
  <si>
    <t>Economizer, Cold In</t>
  </si>
  <si>
    <t>Effect No.3</t>
  </si>
  <si>
    <t>Effect No.4</t>
  </si>
  <si>
    <t>Effect No.5</t>
  </si>
  <si>
    <t>Effect No.6</t>
  </si>
  <si>
    <t>Effect No.7</t>
  </si>
  <si>
    <t>Effect No.8</t>
  </si>
  <si>
    <t>Effect No.9</t>
  </si>
  <si>
    <t>Effect No.10</t>
  </si>
  <si>
    <t>Effect No.11</t>
  </si>
  <si>
    <t>Effect No.12</t>
  </si>
  <si>
    <t>Effect No.13</t>
  </si>
  <si>
    <t>Effect No.14</t>
  </si>
  <si>
    <t>Effect No.15</t>
  </si>
  <si>
    <t>Condenser</t>
  </si>
  <si>
    <t>Condenser, Hot In</t>
  </si>
  <si>
    <t>Condenser, Hot Out</t>
  </si>
  <si>
    <t>Condenser, Cold In</t>
  </si>
  <si>
    <t>Condenser, Cold Out</t>
  </si>
  <si>
    <t>m_dot_D [kg/s]</t>
  </si>
  <si>
    <t>m_dot_B [kg/s]</t>
  </si>
  <si>
    <t>m_dot_f [kg/s]</t>
  </si>
  <si>
    <t>φ_D [kW]</t>
  </si>
  <si>
    <t>φ_D_E [kW]</t>
  </si>
  <si>
    <t>φ_D_B [kW]</t>
  </si>
  <si>
    <t>φ_D_C [kW]</t>
  </si>
  <si>
    <t>φ_D [kJ/kg]</t>
  </si>
  <si>
    <t>φ_D_E [kJ/kg]</t>
  </si>
  <si>
    <t>φ_D_B [kJ/kg]</t>
  </si>
  <si>
    <t>φ_D_C [kJ/kg]</t>
  </si>
  <si>
    <t>φ_D [%]</t>
  </si>
  <si>
    <t>φ_D_E [%]</t>
  </si>
  <si>
    <t>φ_D_B [%]</t>
  </si>
  <si>
    <t>φ_D_C [%]</t>
  </si>
  <si>
    <t>Effect No.2</t>
  </si>
  <si>
    <t>Total</t>
  </si>
  <si>
    <t>η_II</t>
  </si>
  <si>
    <t>m_dot_D [gal/s]</t>
  </si>
  <si>
    <t>m_dot_B [gal/s]</t>
  </si>
  <si>
    <t>m_dot_f [gal/s]</t>
  </si>
  <si>
    <t>GOR_hv [kJ/kJ]</t>
  </si>
  <si>
    <t>GOR_mass [kg/kg]</t>
  </si>
  <si>
    <t>Distillate Production [kg/kJ]</t>
  </si>
  <si>
    <t>Distillate Production [gal/kJ]</t>
  </si>
  <si>
    <t>Turbine Power [MW]</t>
  </si>
  <si>
    <t>m_dot_npp [kg/s]</t>
  </si>
  <si>
    <t>75 [</t>
  </si>
  <si>
    <t>q_npp [kJ/kg]</t>
  </si>
  <si>
    <t>Q_npp [MW]</t>
  </si>
  <si>
    <t>T_0 [C]</t>
  </si>
  <si>
    <t>GOR_hv</t>
  </si>
  <si>
    <t>GOR_steam</t>
  </si>
  <si>
    <t>z_0 [g/kg]</t>
  </si>
  <si>
    <t>z_B [g/kg]</t>
  </si>
  <si>
    <t>Evaporator No. 1</t>
  </si>
  <si>
    <t>Spray Evaporator, Brine In</t>
  </si>
  <si>
    <t>-</t>
  </si>
  <si>
    <t>Produced Steam Temperature [C]</t>
  </si>
  <si>
    <t>Effect No.</t>
  </si>
  <si>
    <t>Pressure [kPa]</t>
  </si>
  <si>
    <t>Distilled Water Mass Flow Rate [kg/s]</t>
  </si>
  <si>
    <t>Percentage of Total Distilled Water Mass Flow Rate [%]</t>
  </si>
  <si>
    <t>Distilled Water Mass Flow Rate over NPP Mass Flow Rate [kg/s]</t>
  </si>
  <si>
    <t>Salinity [ppt]</t>
  </si>
  <si>
    <t>Exergy Destroyed by Evaporator [kW]</t>
  </si>
  <si>
    <t>Spray Evaporator, Pump Ideal</t>
  </si>
  <si>
    <t>Spray Evaporator, Pump Real</t>
  </si>
  <si>
    <t>Liquid Brine Out</t>
  </si>
  <si>
    <t>Freshwater Steam Out</t>
  </si>
  <si>
    <t>Condensed Freshwater</t>
  </si>
  <si>
    <t>Evaporator No. 2</t>
  </si>
  <si>
    <t>Evaporator No. 3</t>
  </si>
  <si>
    <t>Evaporator No. 4</t>
  </si>
  <si>
    <t>Evaporator No. 5</t>
  </si>
  <si>
    <t>Evaporator No. 6</t>
  </si>
  <si>
    <t>Evaporator No. 7</t>
  </si>
  <si>
    <t>Evaporator No. 8</t>
  </si>
  <si>
    <t>Condenser Series</t>
  </si>
  <si>
    <t>Condenser No. 1</t>
  </si>
  <si>
    <t>Condenser No. 2</t>
  </si>
  <si>
    <t>Condenser No. 3</t>
  </si>
  <si>
    <t>Condenser No. 4</t>
  </si>
  <si>
    <t>Condenser No. 5</t>
  </si>
  <si>
    <t>Condenser No. 6</t>
  </si>
  <si>
    <t>Condenser No. 7</t>
  </si>
  <si>
    <t>Condenser No. 8</t>
  </si>
  <si>
    <t>Brine Outflow</t>
  </si>
  <si>
    <t>Outlet</t>
  </si>
  <si>
    <t>Evaporator</t>
  </si>
  <si>
    <t>Brine Flow Rate [kg/s]</t>
  </si>
  <si>
    <t>Distillate Flow Rate [kg/s]</t>
  </si>
  <si>
    <t>m_dot_c = 65,917 [kg/s]</t>
  </si>
  <si>
    <t>NPP Specificatations are Identical between SLTD and MED</t>
  </si>
  <si>
    <t>m_dot_f = 14,380 [kg/s]</t>
  </si>
  <si>
    <t>GOR = 4.1 [hv]</t>
  </si>
  <si>
    <t>GOR = 3.567 [kg]</t>
  </si>
  <si>
    <t>Distillate Production = 0.007197 [kg/kJ]</t>
  </si>
  <si>
    <t>Second Law Efficiency = 45.83%</t>
  </si>
  <si>
    <t>T_0</t>
  </si>
  <si>
    <t>GOR_mass</t>
  </si>
  <si>
    <t>m_dot_f</t>
  </si>
  <si>
    <t>m_dot_B</t>
  </si>
  <si>
    <t>m_dot_D</t>
  </si>
  <si>
    <t>Allowable Salinity</t>
  </si>
  <si>
    <t>eta_ii</t>
  </si>
  <si>
    <t>E</t>
  </si>
  <si>
    <t>[C]</t>
  </si>
  <si>
    <t>[kg/s]</t>
  </si>
  <si>
    <t>[ppt]</t>
  </si>
  <si>
    <t>LCOW Inputs</t>
  </si>
  <si>
    <t>Technical Inputs</t>
  </si>
  <si>
    <t>NOTE: A8/B8, A15/B15, A16/B16, A19/B19, 20, 21, 22, 23, 24, 25, are all assumptions/placeholders</t>
  </si>
  <si>
    <t>Base distillate mass flow (kg/s)</t>
  </si>
  <si>
    <t>Water density (kg/m^3)</t>
  </si>
  <si>
    <t>Base water production (m^3/s)</t>
  </si>
  <si>
    <t>Base water production (m^3/day)</t>
  </si>
  <si>
    <t>Capacity factor of desal plant (-)</t>
  </si>
  <si>
    <t>Annual water production (m^3/yr)</t>
  </si>
  <si>
    <t>Distillate production (kg/kJ)</t>
  </si>
  <si>
    <t>Heat per kg water (kJ/kg)</t>
  </si>
  <si>
    <t>Heat per m^3 water (kWh_th/m^3)</t>
  </si>
  <si>
    <t>Economic Inputs</t>
  </si>
  <si>
    <t>Plant lifetime (years)</t>
  </si>
  <si>
    <t>Discount rate (fraction)</t>
  </si>
  <si>
    <t>Capital recovery factor CRF (-)</t>
  </si>
  <si>
    <t>Base plant capacity (m^3/day)</t>
  </si>
  <si>
    <t>Base CAPEX (total, $)</t>
  </si>
  <si>
    <t>Fixed O&amp;M fraction of CAPEX (1/yr)</t>
  </si>
  <si>
    <t>Variable O&amp;M non-energy ($/m^3)</t>
  </si>
  <si>
    <t>Specific electricity use (kWh/m^3)</t>
  </si>
  <si>
    <t>Electricity price ($/kWh)</t>
  </si>
  <si>
    <t>Thermal energy price ($/kWh_th)</t>
  </si>
  <si>
    <t>(Treating waste heat as free)</t>
  </si>
  <si>
    <t>CAPEX scaling exponent alpha (-)</t>
  </si>
  <si>
    <t>Note on thermal energy cost</t>
  </si>
  <si>
    <t>Waste heat from NPP condenser treated as zero-cost thermal energy</t>
  </si>
  <si>
    <t>RO Inputs</t>
  </si>
  <si>
    <t>RO base plant capacity (m^3/day)</t>
  </si>
  <si>
    <t>Note: Want RO to have the same capacity as the MED plant for fair comparison.</t>
  </si>
  <si>
    <t>RO CAPEX per capacity ($/(m^3/day))</t>
  </si>
  <si>
    <t>Note: Placeholder</t>
  </si>
  <si>
    <t>RO CAPEX base (total, $)</t>
  </si>
  <si>
    <t>RO Fixed O&amp;M fraction (1/yr)</t>
  </si>
  <si>
    <t>RO Variable O&amp;M non-energy ($/m^3)</t>
  </si>
  <si>
    <t>RO Specific electricity use (kWh/m^3)</t>
  </si>
  <si>
    <t>RO Electricity price ($/kWh)</t>
  </si>
  <si>
    <t>RO Capacity factor (-)</t>
  </si>
  <si>
    <t>RO annual water production (m^3/yr)</t>
  </si>
  <si>
    <t>Base-case LCOW (MED + nuclear waste heat)</t>
  </si>
  <si>
    <t>Annualized CAPEX ($/yr)</t>
  </si>
  <si>
    <t>CAPEX per m^3</t>
  </si>
  <si>
    <t>Fixed O&amp;M ($/yr)</t>
  </si>
  <si>
    <t>Fixed O&amp;M per m^3</t>
  </si>
  <si>
    <t>Variable O&amp;M non-energy ($/yr)</t>
  </si>
  <si>
    <t>Var O&amp;M per m^3</t>
  </si>
  <si>
    <t>Electricity cost ($/yr)</t>
  </si>
  <si>
    <t>Electricity per m^3</t>
  </si>
  <si>
    <t>Thermal energy cost ($/yr)</t>
  </si>
  <si>
    <t>Thermal Energy Cost per m^3</t>
  </si>
  <si>
    <t>Total annual cost ($/yr)</t>
  </si>
  <si>
    <t>LCOW</t>
  </si>
  <si>
    <t>LCOW ($/m^3)</t>
  </si>
  <si>
    <t>CAPEX</t>
  </si>
  <si>
    <t>Fixed O&amp;M</t>
  </si>
  <si>
    <t>Var O&amp;M</t>
  </si>
  <si>
    <t>Electricity</t>
  </si>
  <si>
    <t>MED</t>
  </si>
  <si>
    <t>RO</t>
  </si>
  <si>
    <t>Water prod (m^3/day)</t>
  </si>
  <si>
    <t>Annual water (m^3/yr)</t>
  </si>
  <si>
    <t>Scaled CAPEX ($)</t>
  </si>
  <si>
    <t>CAPEX ($/m^3)</t>
  </si>
  <si>
    <t>Fixed O&amp;M ($/m^3)</t>
  </si>
  <si>
    <t>Var O&amp;M ($/m^3)</t>
  </si>
  <si>
    <t>Electricity ($/m^3)</t>
  </si>
  <si>
    <t>Reference LCOW (RO desalination)</t>
  </si>
  <si>
    <t>CAPEX $/m^3</t>
  </si>
  <si>
    <t>Fixed O&amp;M $/m^3</t>
  </si>
  <si>
    <t>Var O/M $/m^3</t>
  </si>
  <si>
    <t>Electricity $/m^3</t>
  </si>
  <si>
    <t>LCOW_RO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</si>
</sst>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0.00000"/>
    <numFmt numFmtId="166" formatCode="0.000000"/>
    <numFmt numFmtId="167" formatCode="&quot;$&quot;#,##0.00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color theme="1"/>
      <name val="Arial"/>
    </font>
    <font>
      <color theme="1"/>
      <name val="Arial"/>
    </font>
    <font>
      <color rgb="FF000000"/>
      <name val="Arial"/>
    </font>
    <font>
      <color rgb="FF000000"/>
      <name val="&quot;Arial Unicode MS&quot;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21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horizontal="center" readingOrder="0" shrinkToFit="0" vertical="center" wrapText="1"/>
    </xf>
    <xf borderId="4" fillId="0" fontId="3" numFmtId="0" xfId="0" applyBorder="1" applyFont="1"/>
    <xf borderId="0" fillId="0" fontId="2" numFmtId="0" xfId="0" applyAlignment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readingOrder="0" shrinkToFit="0" vertical="center" wrapText="1"/>
    </xf>
    <xf borderId="6" fillId="0" fontId="3" numFmtId="0" xfId="0" applyBorder="1" applyFont="1"/>
    <xf borderId="7" fillId="0" fontId="2" numFmtId="0" xfId="0" applyAlignment="1" applyBorder="1" applyFont="1">
      <alignment horizontal="center" readingOrder="0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readingOrder="0"/>
    </xf>
    <xf borderId="3" fillId="0" fontId="2" numFmtId="0" xfId="0" applyBorder="1" applyFont="1"/>
    <xf borderId="0" fillId="0" fontId="2" numFmtId="0" xfId="0" applyAlignment="1" applyFont="1">
      <alignment readingOrder="0"/>
    </xf>
    <xf borderId="5" fillId="0" fontId="2" numFmtId="0" xfId="0" applyBorder="1" applyFont="1"/>
    <xf borderId="5" fillId="0" fontId="2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7" fillId="0" fontId="2" numFmtId="0" xfId="0" applyBorder="1" applyFont="1"/>
    <xf borderId="0" fillId="0" fontId="1" numFmtId="0" xfId="0" applyAlignment="1" applyFont="1">
      <alignment horizontal="center" readingOrder="0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center" shrinkToFit="0" wrapText="1"/>
    </xf>
    <xf borderId="0" fillId="0" fontId="2" numFmtId="0" xfId="0" applyAlignment="1" applyFont="1">
      <alignment horizontal="center" readingOrder="0"/>
    </xf>
    <xf borderId="0" fillId="0" fontId="5" numFmtId="0" xfId="0" applyAlignment="1" applyFont="1">
      <alignment horizontal="right" vertical="bottom"/>
    </xf>
    <xf borderId="0" fillId="0" fontId="2" numFmtId="0" xfId="0" applyFont="1"/>
    <xf borderId="0" fillId="0" fontId="5" numFmtId="1" xfId="0" applyAlignment="1" applyFont="1" applyNumberFormat="1">
      <alignment horizontal="right" readingOrder="0" vertical="bottom"/>
    </xf>
    <xf borderId="0" fillId="0" fontId="5" numFmtId="1" xfId="0" applyAlignment="1" applyFont="1" applyNumberFormat="1">
      <alignment horizontal="right" vertical="bottom"/>
    </xf>
    <xf borderId="0" fillId="0" fontId="5" numFmtId="2" xfId="0" applyAlignment="1" applyFont="1" applyNumberFormat="1">
      <alignment horizontal="right" vertical="bottom"/>
    </xf>
    <xf borderId="0" fillId="0" fontId="2" numFmtId="164" xfId="0" applyFont="1" applyNumberFormat="1"/>
    <xf borderId="0" fillId="0" fontId="5" numFmtId="164" xfId="0" applyAlignment="1" applyFont="1" applyNumberFormat="1">
      <alignment horizontal="right" vertical="bottom"/>
    </xf>
    <xf borderId="0" fillId="0" fontId="5" numFmtId="164" xfId="0" applyAlignment="1" applyFont="1" applyNumberFormat="1">
      <alignment horizontal="right" readingOrder="0" vertical="bottom"/>
    </xf>
    <xf borderId="0" fillId="0" fontId="2" numFmtId="1" xfId="0" applyFont="1" applyNumberFormat="1"/>
    <xf borderId="9" fillId="0" fontId="2" numFmtId="0" xfId="0" applyAlignment="1" applyBorder="1" applyFont="1">
      <alignment readingOrder="0"/>
    </xf>
    <xf borderId="10" fillId="0" fontId="2" numFmtId="1" xfId="0" applyBorder="1" applyFont="1" applyNumberFormat="1"/>
    <xf borderId="11" fillId="0" fontId="2" numFmtId="0" xfId="0" applyBorder="1" applyFont="1"/>
    <xf borderId="12" fillId="0" fontId="2" numFmtId="164" xfId="0" applyBorder="1" applyFont="1" applyNumberFormat="1"/>
    <xf borderId="10" fillId="0" fontId="2" numFmtId="164" xfId="0" applyBorder="1" applyFont="1" applyNumberFormat="1"/>
    <xf borderId="11" fillId="0" fontId="2" numFmtId="164" xfId="0" applyBorder="1" applyFont="1" applyNumberFormat="1"/>
    <xf borderId="0" fillId="0" fontId="5" numFmtId="0" xfId="0" applyAlignment="1" applyFont="1">
      <alignment horizontal="center" readingOrder="0" vertical="bottom"/>
    </xf>
    <xf borderId="0" fillId="0" fontId="5" numFmtId="0" xfId="0" applyAlignment="1" applyFont="1">
      <alignment horizontal="center" vertical="bottom"/>
    </xf>
    <xf borderId="12" fillId="0" fontId="5" numFmtId="1" xfId="0" applyAlignment="1" applyBorder="1" applyFont="1" applyNumberFormat="1">
      <alignment vertical="bottom"/>
    </xf>
    <xf borderId="10" fillId="0" fontId="5" numFmtId="1" xfId="0" applyAlignment="1" applyBorder="1" applyFont="1" applyNumberFormat="1">
      <alignment vertical="bottom"/>
    </xf>
    <xf borderId="11" fillId="0" fontId="5" numFmtId="1" xfId="0" applyAlignment="1" applyBorder="1" applyFont="1" applyNumberFormat="1">
      <alignment vertical="bottom"/>
    </xf>
    <xf borderId="0" fillId="0" fontId="5" numFmtId="0" xfId="0" applyAlignment="1" applyFont="1">
      <alignment horizontal="center" vertical="bottom"/>
    </xf>
    <xf borderId="0" fillId="0" fontId="5" numFmtId="165" xfId="0" applyAlignment="1" applyFont="1" applyNumberFormat="1">
      <alignment horizontal="right" vertical="bottom"/>
    </xf>
    <xf borderId="0" fillId="0" fontId="5" numFmtId="11" xfId="0" applyAlignment="1" applyFont="1" applyNumberFormat="1">
      <alignment horizontal="right" vertical="bottom"/>
    </xf>
    <xf borderId="0" fillId="0" fontId="2" numFmtId="166" xfId="0" applyAlignment="1" applyFont="1" applyNumberFormat="1">
      <alignment horizontal="right" readingOrder="0"/>
    </xf>
    <xf borderId="0" fillId="0" fontId="2" numFmtId="0" xfId="0" applyAlignment="1" applyFont="1">
      <alignment horizontal="right" readingOrder="0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horizontal="right" readingOrder="0" vertical="bottom"/>
    </xf>
    <xf borderId="0" fillId="0" fontId="4" numFmtId="0" xfId="0" applyAlignment="1" applyFont="1">
      <alignment horizontal="center" readingOrder="0" vertical="bottom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/>
    </xf>
    <xf borderId="2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readingOrder="0"/>
    </xf>
    <xf borderId="3" fillId="0" fontId="5" numFmtId="0" xfId="0" applyAlignment="1" applyBorder="1" applyFont="1">
      <alignment horizontal="center" readingOrder="0"/>
    </xf>
    <xf borderId="0" fillId="0" fontId="5" numFmtId="0" xfId="0" applyAlignment="1" applyFont="1">
      <alignment horizontal="center" shrinkToFit="0" wrapText="1"/>
    </xf>
    <xf borderId="5" fillId="0" fontId="5" numFmtId="0" xfId="0" applyAlignment="1" applyBorder="1" applyFont="1">
      <alignment horizontal="center" readingOrder="0"/>
    </xf>
    <xf borderId="7" fillId="0" fontId="5" numFmtId="0" xfId="0" applyAlignment="1" applyBorder="1" applyFont="1">
      <alignment horizontal="center" readingOrder="0" shrinkToFit="0" wrapText="1"/>
    </xf>
    <xf borderId="7" fillId="0" fontId="5" numFmtId="0" xfId="0" applyAlignment="1" applyBorder="1" applyFont="1">
      <alignment horizontal="center" readingOrder="0"/>
    </xf>
    <xf borderId="8" fillId="0" fontId="5" numFmtId="0" xfId="0" applyAlignment="1" applyBorder="1" applyFont="1">
      <alignment horizontal="center" readingOrder="0"/>
    </xf>
    <xf borderId="2" fillId="0" fontId="5" numFmtId="0" xfId="0" applyAlignment="1" applyBorder="1" applyFont="1">
      <alignment horizontal="center" readingOrder="0" shrinkToFit="0" wrapText="1"/>
    </xf>
    <xf borderId="0" fillId="0" fontId="5" numFmtId="0" xfId="0" applyAlignment="1" applyFont="1">
      <alignment horizontal="center" readingOrder="0" shrinkToFit="0" wrapText="1"/>
    </xf>
    <xf borderId="2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readingOrder="0" shrinkToFit="0" vertical="center" wrapText="1"/>
    </xf>
    <xf borderId="10" fillId="0" fontId="2" numFmtId="0" xfId="0" applyAlignment="1" applyBorder="1" applyFont="1">
      <alignment horizontal="center" readingOrder="0" shrinkToFit="0" vertical="center" wrapText="1"/>
    </xf>
    <xf borderId="11" fillId="0" fontId="2" numFmtId="0" xfId="0" applyAlignment="1" applyBorder="1" applyFont="1">
      <alignment horizontal="center" readingOrder="0" shrinkToFit="0" vertical="center" wrapText="1"/>
    </xf>
    <xf borderId="13" fillId="0" fontId="2" numFmtId="0" xfId="0" applyAlignment="1" applyBorder="1" applyFont="1">
      <alignment horizontal="center" readingOrder="0"/>
    </xf>
    <xf borderId="14" fillId="0" fontId="2" numFmtId="0" xfId="0" applyAlignment="1" applyBorder="1" applyFont="1">
      <alignment horizontal="center" readingOrder="0"/>
    </xf>
    <xf borderId="15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 shrinkToFit="0" wrapText="1"/>
    </xf>
    <xf borderId="16" fillId="0" fontId="2" numFmtId="0" xfId="0" applyAlignment="1" applyBorder="1" applyFont="1">
      <alignment horizontal="center" readingOrder="0"/>
    </xf>
    <xf borderId="17" fillId="0" fontId="2" numFmtId="0" xfId="0" applyAlignment="1" applyBorder="1" applyFont="1">
      <alignment horizontal="center" readingOrder="0"/>
    </xf>
    <xf borderId="18" fillId="0" fontId="2" numFmtId="0" xfId="0" applyAlignment="1" applyBorder="1" applyFont="1">
      <alignment horizontal="center" readingOrder="0"/>
    </xf>
    <xf borderId="19" fillId="0" fontId="2" numFmtId="0" xfId="0" applyAlignment="1" applyBorder="1" applyFont="1">
      <alignment horizontal="center" readingOrder="0"/>
    </xf>
    <xf borderId="20" fillId="0" fontId="2" numFmtId="0" xfId="0" applyAlignment="1" applyBorder="1" applyFont="1">
      <alignment horizontal="center" readingOrder="0"/>
    </xf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0" fontId="2" numFmtId="0" xfId="0" applyAlignment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1" xfId="0" applyAlignment="1" applyFont="1" applyNumberFormat="1">
      <alignment horizontal="right"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6" numFmtId="0" xfId="0" applyAlignment="1" applyFont="1">
      <alignment horizontal="right" readingOrder="0" shrinkToFit="0" vertical="bottom" wrapText="0"/>
    </xf>
    <xf borderId="0" fillId="0" fontId="6" numFmtId="165" xfId="0" applyAlignment="1" applyFont="1" applyNumberFormat="1">
      <alignment horizontal="right"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right" readingOrder="0" shrinkToFit="0" vertical="bottom" wrapText="0"/>
    </xf>
    <xf borderId="0" fillId="0" fontId="6" numFmtId="167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SLTD!$L$1</c:f>
            </c:strRef>
          </c:tx>
          <c:spPr>
            <a:solidFill>
              <a:srgbClr val="E69138"/>
            </a:solidFill>
            <a:ln cmpd="sng" w="9525">
              <a:solidFill>
                <a:schemeClr val="lt1"/>
              </a:solidFill>
              <a:prstDash val="solid"/>
            </a:ln>
          </c:spPr>
          <c:dPt>
            <c:idx val="0"/>
          </c:dPt>
          <c:cat>
            <c:strRef>
              <c:f>SLTD!$M$2:$M$10</c:f>
            </c:strRef>
          </c:cat>
          <c:val>
            <c:numRef>
              <c:f>SLTD!$L$2:$L$10</c:f>
              <c:numCache/>
            </c:numRef>
          </c:val>
        </c:ser>
        <c:axId val="1596864601"/>
        <c:axId val="30763746"/>
      </c:barChart>
      <c:catAx>
        <c:axId val="15968646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Evaporator No.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0763746"/>
      </c:catAx>
      <c:valAx>
        <c:axId val="307637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Produced Steam Temperature [C]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686460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SLTD!$N$1</c:f>
            </c:strRef>
          </c:tx>
          <c:spPr>
            <a:solidFill>
              <a:srgbClr val="1155CC"/>
            </a:solidFill>
            <a:ln cmpd="sng">
              <a:solidFill>
                <a:srgbClr val="000000"/>
              </a:solidFill>
            </a:ln>
          </c:spPr>
          <c:cat>
            <c:strRef>
              <c:f>SLTD!$M$2:$M$10</c:f>
            </c:strRef>
          </c:cat>
          <c:val>
            <c:numRef>
              <c:f>SLTD!$N$2:$N$10</c:f>
              <c:numCache/>
            </c:numRef>
          </c:val>
        </c:ser>
        <c:axId val="448745282"/>
        <c:axId val="1590072915"/>
      </c:barChart>
      <c:catAx>
        <c:axId val="4487452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Evaporator No.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0072915"/>
      </c:catAx>
      <c:valAx>
        <c:axId val="15900729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Pressure [kPa]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4874528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409575</xdr:colOff>
      <xdr:row>10</xdr:row>
      <xdr:rowOff>123825</xdr:rowOff>
    </xdr:from>
    <xdr:ext cx="2295525" cy="14192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409575</xdr:colOff>
      <xdr:row>19</xdr:row>
      <xdr:rowOff>28575</xdr:rowOff>
    </xdr:from>
    <xdr:ext cx="2295525" cy="13239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4.0"/>
    <col customWidth="1" min="2" max="2" width="25.88"/>
    <col customWidth="1" min="5" max="5" width="17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11</v>
      </c>
      <c r="B2" s="4" t="s">
        <v>12</v>
      </c>
      <c r="C2" s="4">
        <v>10.0</v>
      </c>
      <c r="D2" s="4">
        <v>275.0</v>
      </c>
      <c r="E2" s="4">
        <v>15000.0</v>
      </c>
      <c r="F2" s="4">
        <v>2.995</v>
      </c>
      <c r="G2" s="4">
        <v>1208.0</v>
      </c>
      <c r="H2" s="4">
        <v>1070.0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6"/>
      <c r="B3" s="7" t="s">
        <v>13</v>
      </c>
      <c r="C3" s="7">
        <v>11.0</v>
      </c>
      <c r="D3" s="7">
        <v>275.2</v>
      </c>
      <c r="E3" s="7">
        <v>15750.0</v>
      </c>
      <c r="F3" s="7">
        <v>2.995</v>
      </c>
      <c r="G3" s="7">
        <v>1209.0</v>
      </c>
      <c r="H3" s="7">
        <v>1071.0</v>
      </c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6"/>
      <c r="B4" s="7" t="s">
        <v>14</v>
      </c>
      <c r="C4" s="7">
        <v>12.0</v>
      </c>
      <c r="D4" s="7">
        <v>275.3</v>
      </c>
      <c r="E4" s="7">
        <v>15750.0</v>
      </c>
      <c r="F4" s="7">
        <v>2.995</v>
      </c>
      <c r="G4" s="7">
        <v>1209.0</v>
      </c>
      <c r="H4" s="7">
        <v>1071.0</v>
      </c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9"/>
      <c r="B5" s="10" t="s">
        <v>15</v>
      </c>
      <c r="C5" s="10">
        <v>13.0</v>
      </c>
      <c r="D5" s="10">
        <v>320.0</v>
      </c>
      <c r="E5" s="10">
        <v>15750.0</v>
      </c>
      <c r="F5" s="10">
        <v>3.422</v>
      </c>
      <c r="G5" s="10">
        <v>1453.0</v>
      </c>
      <c r="H5" s="10">
        <v>1306.0</v>
      </c>
      <c r="I5" s="1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3" t="s">
        <v>16</v>
      </c>
      <c r="B6" s="4" t="s">
        <v>17</v>
      </c>
      <c r="C6" s="4">
        <v>20.0</v>
      </c>
      <c r="D6" s="4">
        <v>99.97</v>
      </c>
      <c r="E6" s="4">
        <v>101.3</v>
      </c>
      <c r="F6" s="4">
        <v>1.307</v>
      </c>
      <c r="G6" s="4">
        <v>419.1</v>
      </c>
      <c r="H6" s="4">
        <v>314.8</v>
      </c>
      <c r="I6" s="5">
        <v>0.0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6"/>
      <c r="B7" s="7" t="s">
        <v>18</v>
      </c>
      <c r="C7" s="7">
        <v>21.0</v>
      </c>
      <c r="D7" s="7">
        <v>100.1</v>
      </c>
      <c r="E7" s="7">
        <v>2533.0</v>
      </c>
      <c r="F7" s="7">
        <v>1.307</v>
      </c>
      <c r="G7" s="7">
        <v>421.6</v>
      </c>
      <c r="H7" s="7">
        <v>317.4</v>
      </c>
      <c r="I7" s="1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6"/>
      <c r="B8" s="7" t="s">
        <v>18</v>
      </c>
      <c r="C8" s="7">
        <v>22.0</v>
      </c>
      <c r="D8" s="7">
        <v>100.2</v>
      </c>
      <c r="E8" s="7">
        <v>2533.0</v>
      </c>
      <c r="F8" s="7">
        <v>1.308</v>
      </c>
      <c r="G8" s="7">
        <v>422.0</v>
      </c>
      <c r="H8" s="7">
        <v>317.8</v>
      </c>
      <c r="I8" s="1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6"/>
      <c r="B9" s="7" t="s">
        <v>19</v>
      </c>
      <c r="C9" s="7">
        <v>23.0</v>
      </c>
      <c r="D9" s="7">
        <v>239.7</v>
      </c>
      <c r="E9" s="7">
        <v>2533.0</v>
      </c>
      <c r="F9" s="7">
        <v>6.345</v>
      </c>
      <c r="G9" s="7">
        <v>2849.0</v>
      </c>
      <c r="H9" s="7">
        <v>2645.0</v>
      </c>
      <c r="I9" s="1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6"/>
      <c r="B10" s="7" t="s">
        <v>20</v>
      </c>
      <c r="C10" s="7">
        <v>24.0</v>
      </c>
      <c r="D10" s="7">
        <v>99.97</v>
      </c>
      <c r="E10" s="7">
        <v>101.3</v>
      </c>
      <c r="F10" s="7">
        <v>6.345</v>
      </c>
      <c r="G10" s="7">
        <v>2299.0</v>
      </c>
      <c r="H10" s="7">
        <v>2094.0</v>
      </c>
      <c r="I10" s="8">
        <v>0.833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9"/>
      <c r="B11" s="10" t="s">
        <v>21</v>
      </c>
      <c r="C11" s="10">
        <v>25.0</v>
      </c>
      <c r="D11" s="10">
        <v>99.97</v>
      </c>
      <c r="E11" s="10">
        <v>101.3</v>
      </c>
      <c r="F11" s="10">
        <v>6.492</v>
      </c>
      <c r="G11" s="10">
        <v>2354.0</v>
      </c>
      <c r="H11" s="10">
        <v>2146.0</v>
      </c>
      <c r="I11" s="11">
        <v>0.8574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</sheetData>
  <mergeCells count="2">
    <mergeCell ref="A2:A5"/>
    <mergeCell ref="A6:A1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5" t="s">
        <v>82</v>
      </c>
      <c r="B1" s="88" t="s">
        <v>52</v>
      </c>
      <c r="C1" s="85" t="s">
        <v>83</v>
      </c>
      <c r="D1" s="85" t="s">
        <v>201</v>
      </c>
      <c r="E1" s="85" t="s">
        <v>202</v>
      </c>
      <c r="F1" s="85" t="s">
        <v>203</v>
      </c>
      <c r="G1" s="85" t="s">
        <v>182</v>
      </c>
      <c r="H1" s="85" t="s">
        <v>184</v>
      </c>
      <c r="I1" s="85" t="s">
        <v>186</v>
      </c>
      <c r="J1" s="85" t="s">
        <v>188</v>
      </c>
      <c r="K1" s="85" t="s">
        <v>190</v>
      </c>
      <c r="L1" s="85" t="s">
        <v>192</v>
      </c>
      <c r="M1" s="85" t="s">
        <v>194</v>
      </c>
      <c r="N1" s="85" t="s">
        <v>204</v>
      </c>
      <c r="O1" s="85" t="s">
        <v>205</v>
      </c>
      <c r="P1" s="85" t="s">
        <v>206</v>
      </c>
      <c r="Q1" s="85" t="s">
        <v>207</v>
      </c>
    </row>
    <row r="2">
      <c r="A2" s="27">
        <f>'MED - Parameterization'!A2</f>
        <v>20</v>
      </c>
      <c r="B2" s="27">
        <f>'MED - Parameterization'!B2</f>
        <v>9938</v>
      </c>
      <c r="C2" s="27">
        <f>'MED - Parameterization'!D2</f>
        <v>5.212</v>
      </c>
      <c r="D2" s="27">
        <f>B2/LCOW_Inputs!$B$5*86400</f>
        <v>858643.2</v>
      </c>
      <c r="E2" s="27">
        <f>D2*365*LCOW_Inputs!$B$8</f>
        <v>282064291.2</v>
      </c>
      <c r="F2" s="27">
        <f>LCOW_Inputs!$B$19 * (D2/LCOW_Inputs!$B$18)^LCOW_Inputs!$B$25</f>
        <v>782164976</v>
      </c>
      <c r="G2" s="27">
        <f>F2 * LCOW_Inputs!$B$17</f>
        <v>67117981.14</v>
      </c>
      <c r="H2" s="27">
        <f>F2 * LCOW_Inputs!$B$20</f>
        <v>23464949.28</v>
      </c>
      <c r="I2" s="27">
        <f>E2 * LCOW_Inputs!$B$21</f>
        <v>56412858.24</v>
      </c>
      <c r="J2" s="27">
        <f>E2 * LCOW_Inputs!$B$22 * LCOW_Inputs!$B$23</f>
        <v>29616750.58</v>
      </c>
      <c r="K2" s="27">
        <f>E2 * LCOW_Inputs!$B$12 * LCOW_Inputs!$B$24</f>
        <v>0</v>
      </c>
      <c r="L2" s="27">
        <f t="shared" ref="L2:L11" si="1">G2 + H2 + I2 + J2 + K2</f>
        <v>176612539.2</v>
      </c>
      <c r="M2" s="27">
        <f t="shared" ref="M2:M11" si="2">L2 / E2</f>
        <v>0.6261428502</v>
      </c>
      <c r="N2" s="27">
        <f t="shared" ref="N2:N11" si="3">G2/E2</f>
        <v>0.2379527762</v>
      </c>
      <c r="O2" s="27">
        <f t="shared" ref="O2:O11" si="4">H2/E2</f>
        <v>0.08319007408</v>
      </c>
      <c r="P2" s="27">
        <f t="shared" ref="P2:P11" si="5">I2/E2</f>
        <v>0.2</v>
      </c>
      <c r="Q2" s="27">
        <f t="shared" ref="Q2:Q11" si="6">J2/E2</f>
        <v>0.105</v>
      </c>
    </row>
    <row r="3">
      <c r="A3" s="27">
        <f>'MED - Parameterization'!A3</f>
        <v>18</v>
      </c>
      <c r="B3" s="27">
        <f>'MED - Parameterization'!B3</f>
        <v>9645</v>
      </c>
      <c r="C3" s="27">
        <f>'MED - Parameterization'!D3</f>
        <v>5.056</v>
      </c>
      <c r="D3" s="27">
        <f>B3/LCOW_Inputs!$B$5*86400</f>
        <v>833328</v>
      </c>
      <c r="E3" s="27">
        <f>D3*365*LCOW_Inputs!$B$8</f>
        <v>273748248</v>
      </c>
      <c r="F3" s="27">
        <f>LCOW_Inputs!$B$19 * (D3/LCOW_Inputs!$B$18)^LCOW_Inputs!$B$25</f>
        <v>765950374.4</v>
      </c>
      <c r="G3" s="27">
        <f>F3 * LCOW_Inputs!$B$17</f>
        <v>65726597.8</v>
      </c>
      <c r="H3" s="27">
        <f>F3 * LCOW_Inputs!$B$20</f>
        <v>22978511.23</v>
      </c>
      <c r="I3" s="27">
        <f>E3 * LCOW_Inputs!$B$21</f>
        <v>54749649.6</v>
      </c>
      <c r="J3" s="27">
        <f>E3 * LCOW_Inputs!$B$22 * LCOW_Inputs!$B$23</f>
        <v>28743566.04</v>
      </c>
      <c r="K3" s="27">
        <f>E3 * LCOW_Inputs!$B$12 * LCOW_Inputs!$B$24</f>
        <v>0</v>
      </c>
      <c r="L3" s="27">
        <f t="shared" si="1"/>
        <v>172198324.7</v>
      </c>
      <c r="M3" s="27">
        <f t="shared" si="2"/>
        <v>0.6290390018</v>
      </c>
      <c r="N3" s="27">
        <f t="shared" si="3"/>
        <v>0.2400986975</v>
      </c>
      <c r="O3" s="27">
        <f t="shared" si="4"/>
        <v>0.08394030428</v>
      </c>
      <c r="P3" s="27">
        <f t="shared" si="5"/>
        <v>0.2</v>
      </c>
      <c r="Q3" s="27">
        <f t="shared" si="6"/>
        <v>0.105</v>
      </c>
    </row>
    <row r="4">
      <c r="A4" s="27">
        <f>'MED - Parameterization'!A4</f>
        <v>16</v>
      </c>
      <c r="B4" s="27">
        <f>'MED - Parameterization'!B4</f>
        <v>9366</v>
      </c>
      <c r="C4" s="27">
        <f>'MED - Parameterization'!D4</f>
        <v>4.907</v>
      </c>
      <c r="D4" s="27">
        <f>B4/LCOW_Inputs!$B$5*86400</f>
        <v>809222.4</v>
      </c>
      <c r="E4" s="27">
        <f>D4*365*LCOW_Inputs!$B$8</f>
        <v>265829558.4</v>
      </c>
      <c r="F4" s="27">
        <f>LCOW_Inputs!$B$19 * (D4/LCOW_Inputs!$B$18)^LCOW_Inputs!$B$25</f>
        <v>750372618.2</v>
      </c>
      <c r="G4" s="27">
        <f>F4 * LCOW_Inputs!$B$17</f>
        <v>64389862.47</v>
      </c>
      <c r="H4" s="27">
        <f>F4 * LCOW_Inputs!$B$20</f>
        <v>22511178.55</v>
      </c>
      <c r="I4" s="27">
        <f>E4 * LCOW_Inputs!$B$21</f>
        <v>53165911.68</v>
      </c>
      <c r="J4" s="27">
        <f>E4 * LCOW_Inputs!$B$22 * LCOW_Inputs!$B$23</f>
        <v>27912103.63</v>
      </c>
      <c r="K4" s="27">
        <f>E4 * LCOW_Inputs!$B$12 * LCOW_Inputs!$B$24</f>
        <v>0</v>
      </c>
      <c r="L4" s="27">
        <f t="shared" si="1"/>
        <v>167979056.3</v>
      </c>
      <c r="M4" s="27">
        <f t="shared" si="2"/>
        <v>0.63190511</v>
      </c>
      <c r="N4" s="27">
        <f t="shared" si="3"/>
        <v>0.242222358</v>
      </c>
      <c r="O4" s="27">
        <f t="shared" si="4"/>
        <v>0.08468275191</v>
      </c>
      <c r="P4" s="27">
        <f t="shared" si="5"/>
        <v>0.2</v>
      </c>
      <c r="Q4" s="27">
        <f t="shared" si="6"/>
        <v>0.105</v>
      </c>
    </row>
    <row r="5">
      <c r="A5" s="27">
        <f>'MED - Parameterization'!A5</f>
        <v>14</v>
      </c>
      <c r="B5" s="27">
        <f>'MED - Parameterization'!B5</f>
        <v>9101</v>
      </c>
      <c r="C5" s="27">
        <f>'MED - Parameterization'!D5</f>
        <v>4.766</v>
      </c>
      <c r="D5" s="27">
        <f>B5/LCOW_Inputs!$B$5*86400</f>
        <v>786326.4</v>
      </c>
      <c r="E5" s="27">
        <f>D5*365*LCOW_Inputs!$B$8</f>
        <v>258308222.4</v>
      </c>
      <c r="F5" s="27">
        <f>LCOW_Inputs!$B$19 * (D5/LCOW_Inputs!$B$18)^LCOW_Inputs!$B$25</f>
        <v>735447118.1</v>
      </c>
      <c r="G5" s="27">
        <f>F5 * LCOW_Inputs!$B$17</f>
        <v>63109097.59</v>
      </c>
      <c r="H5" s="27">
        <f>F5 * LCOW_Inputs!$B$20</f>
        <v>22063413.54</v>
      </c>
      <c r="I5" s="27">
        <f>E5 * LCOW_Inputs!$B$21</f>
        <v>51661644.48</v>
      </c>
      <c r="J5" s="27">
        <f>E5 * LCOW_Inputs!$B$22 * LCOW_Inputs!$B$23</f>
        <v>27122363.35</v>
      </c>
      <c r="K5" s="27">
        <f>E5 * LCOW_Inputs!$B$12 * LCOW_Inputs!$B$24</f>
        <v>0</v>
      </c>
      <c r="L5" s="27">
        <f t="shared" si="1"/>
        <v>163956519</v>
      </c>
      <c r="M5" s="27">
        <f t="shared" si="2"/>
        <v>0.6347320942</v>
      </c>
      <c r="N5" s="27">
        <f t="shared" si="3"/>
        <v>0.2443170295</v>
      </c>
      <c r="O5" s="27">
        <f t="shared" si="4"/>
        <v>0.08541506475</v>
      </c>
      <c r="P5" s="27">
        <f t="shared" si="5"/>
        <v>0.2</v>
      </c>
      <c r="Q5" s="27">
        <f t="shared" si="6"/>
        <v>0.105</v>
      </c>
    </row>
    <row r="6">
      <c r="A6" s="27">
        <f>'MED - Parameterization'!A6</f>
        <v>12</v>
      </c>
      <c r="B6" s="27">
        <f>'MED - Parameterization'!B6</f>
        <v>8848</v>
      </c>
      <c r="C6" s="27">
        <f>'MED - Parameterization'!D6</f>
        <v>4.631</v>
      </c>
      <c r="D6" s="27">
        <f>B6/LCOW_Inputs!$B$5*86400</f>
        <v>764467.2</v>
      </c>
      <c r="E6" s="27">
        <f>D6*365*LCOW_Inputs!$B$8</f>
        <v>251127475.2</v>
      </c>
      <c r="F6" s="27">
        <f>LCOW_Inputs!$B$19 * (D6/LCOW_Inputs!$B$18)^LCOW_Inputs!$B$25</f>
        <v>721075351.3</v>
      </c>
      <c r="G6" s="27">
        <f>F6 * LCOW_Inputs!$B$17</f>
        <v>61875848.85</v>
      </c>
      <c r="H6" s="27">
        <f>F6 * LCOW_Inputs!$B$20</f>
        <v>21632260.54</v>
      </c>
      <c r="I6" s="27">
        <f>E6 * LCOW_Inputs!$B$21</f>
        <v>50225495.04</v>
      </c>
      <c r="J6" s="27">
        <f>E6 * LCOW_Inputs!$B$22 * LCOW_Inputs!$B$23</f>
        <v>26368384.9</v>
      </c>
      <c r="K6" s="27">
        <f>E6 * LCOW_Inputs!$B$12 * LCOW_Inputs!$B$24</f>
        <v>0</v>
      </c>
      <c r="L6" s="27">
        <f t="shared" si="1"/>
        <v>160101989.3</v>
      </c>
      <c r="M6" s="27">
        <f t="shared" si="2"/>
        <v>0.6375327478</v>
      </c>
      <c r="N6" s="27">
        <f t="shared" si="3"/>
        <v>0.246392191</v>
      </c>
      <c r="O6" s="27">
        <f t="shared" si="4"/>
        <v>0.08614055678</v>
      </c>
      <c r="P6" s="27">
        <f t="shared" si="5"/>
        <v>0.2</v>
      </c>
      <c r="Q6" s="27">
        <f t="shared" si="6"/>
        <v>0.105</v>
      </c>
    </row>
    <row r="7">
      <c r="A7" s="27">
        <f>'MED - Parameterization'!A7</f>
        <v>10</v>
      </c>
      <c r="B7" s="27">
        <f>'MED - Parameterization'!B7</f>
        <v>8607</v>
      </c>
      <c r="C7" s="27">
        <f>'MED - Parameterization'!D7</f>
        <v>4.503</v>
      </c>
      <c r="D7" s="27">
        <f>B7/LCOW_Inputs!$B$5*86400</f>
        <v>743644.8</v>
      </c>
      <c r="E7" s="27">
        <f>D7*365*LCOW_Inputs!$B$8</f>
        <v>244287316.8</v>
      </c>
      <c r="F7" s="27">
        <f>LCOW_Inputs!$B$19 * (D7/LCOW_Inputs!$B$18)^LCOW_Inputs!$B$25</f>
        <v>707270155.2</v>
      </c>
      <c r="G7" s="27">
        <f>F7 * LCOW_Inputs!$B$17</f>
        <v>60691217.84</v>
      </c>
      <c r="H7" s="27">
        <f>F7 * LCOW_Inputs!$B$20</f>
        <v>21218104.66</v>
      </c>
      <c r="I7" s="27">
        <f>E7 * LCOW_Inputs!$B$21</f>
        <v>48857463.36</v>
      </c>
      <c r="J7" s="27">
        <f>E7 * LCOW_Inputs!$B$22 * LCOW_Inputs!$B$23</f>
        <v>25650168.26</v>
      </c>
      <c r="K7" s="27">
        <f>E7 * LCOW_Inputs!$B$12 * LCOW_Inputs!$B$24</f>
        <v>0</v>
      </c>
      <c r="L7" s="27">
        <f t="shared" si="1"/>
        <v>156416954.1</v>
      </c>
      <c r="M7" s="27">
        <f t="shared" si="2"/>
        <v>0.6402991206</v>
      </c>
      <c r="N7" s="27">
        <f t="shared" si="3"/>
        <v>0.248441952</v>
      </c>
      <c r="O7" s="27">
        <f t="shared" si="4"/>
        <v>0.08685716858</v>
      </c>
      <c r="P7" s="27">
        <f t="shared" si="5"/>
        <v>0.2</v>
      </c>
      <c r="Q7" s="27">
        <f t="shared" si="6"/>
        <v>0.105</v>
      </c>
    </row>
    <row r="8">
      <c r="A8" s="27">
        <f>'MED - Parameterization'!A8</f>
        <v>8</v>
      </c>
      <c r="B8" s="27">
        <f>'MED - Parameterization'!B8</f>
        <v>8378</v>
      </c>
      <c r="C8" s="27">
        <f>'MED - Parameterization'!D8</f>
        <v>4.381</v>
      </c>
      <c r="D8" s="27">
        <f>B8/LCOW_Inputs!$B$5*86400</f>
        <v>723859.2</v>
      </c>
      <c r="E8" s="27">
        <f>D8*365*LCOW_Inputs!$B$8</f>
        <v>237787747.2</v>
      </c>
      <c r="F8" s="27">
        <f>LCOW_Inputs!$B$19 * (D8/LCOW_Inputs!$B$18)^LCOW_Inputs!$B$25</f>
        <v>694044504.3</v>
      </c>
      <c r="G8" s="27">
        <f>F8 * LCOW_Inputs!$B$17</f>
        <v>59556317.88</v>
      </c>
      <c r="H8" s="27">
        <f>F8 * LCOW_Inputs!$B$20</f>
        <v>20821335.13</v>
      </c>
      <c r="I8" s="27">
        <f>E8 * LCOW_Inputs!$B$21</f>
        <v>47557549.44</v>
      </c>
      <c r="J8" s="27">
        <f>E8 * LCOW_Inputs!$B$22 * LCOW_Inputs!$B$23</f>
        <v>24967713.46</v>
      </c>
      <c r="K8" s="27">
        <f>E8 * LCOW_Inputs!$B$12 * LCOW_Inputs!$B$24</f>
        <v>0</v>
      </c>
      <c r="L8" s="27">
        <f t="shared" si="1"/>
        <v>152902915.9</v>
      </c>
      <c r="M8" s="27">
        <f t="shared" si="2"/>
        <v>0.643022686</v>
      </c>
      <c r="N8" s="27">
        <f t="shared" si="3"/>
        <v>0.2504599946</v>
      </c>
      <c r="O8" s="27">
        <f t="shared" si="4"/>
        <v>0.0875626914</v>
      </c>
      <c r="P8" s="27">
        <f t="shared" si="5"/>
        <v>0.2</v>
      </c>
      <c r="Q8" s="27">
        <f t="shared" si="6"/>
        <v>0.105</v>
      </c>
    </row>
    <row r="9">
      <c r="A9" s="27">
        <f>'MED - Parameterization'!A9</f>
        <v>6</v>
      </c>
      <c r="B9" s="27">
        <f>'MED - Parameterization'!B9</f>
        <v>8159</v>
      </c>
      <c r="C9" s="27">
        <f>'MED - Parameterization'!D9</f>
        <v>4.265</v>
      </c>
      <c r="D9" s="27">
        <f>B9/LCOW_Inputs!$B$5*86400</f>
        <v>704937.6</v>
      </c>
      <c r="E9" s="27">
        <f>D9*365*LCOW_Inputs!$B$8</f>
        <v>231572001.6</v>
      </c>
      <c r="F9" s="27">
        <f>LCOW_Inputs!$B$19 * (D9/LCOW_Inputs!$B$18)^LCOW_Inputs!$B$25</f>
        <v>681294563.8</v>
      </c>
      <c r="G9" s="27">
        <f>F9 * LCOW_Inputs!$B$17</f>
        <v>58462238.9</v>
      </c>
      <c r="H9" s="27">
        <f>F9 * LCOW_Inputs!$B$20</f>
        <v>20438836.91</v>
      </c>
      <c r="I9" s="27">
        <f>E9 * LCOW_Inputs!$B$21</f>
        <v>46314400.32</v>
      </c>
      <c r="J9" s="27">
        <f>E9 * LCOW_Inputs!$B$22 * LCOW_Inputs!$B$23</f>
        <v>24315060.17</v>
      </c>
      <c r="K9" s="27">
        <f>E9 * LCOW_Inputs!$B$12 * LCOW_Inputs!$B$24</f>
        <v>0</v>
      </c>
      <c r="L9" s="27">
        <f t="shared" si="1"/>
        <v>149530536.3</v>
      </c>
      <c r="M9" s="27">
        <f t="shared" si="2"/>
        <v>0.6457194102</v>
      </c>
      <c r="N9" s="27">
        <f t="shared" si="3"/>
        <v>0.2524581491</v>
      </c>
      <c r="O9" s="27">
        <f t="shared" si="4"/>
        <v>0.08826126117</v>
      </c>
      <c r="P9" s="27">
        <f t="shared" si="5"/>
        <v>0.2</v>
      </c>
      <c r="Q9" s="27">
        <f t="shared" si="6"/>
        <v>0.105</v>
      </c>
    </row>
    <row r="10">
      <c r="A10" s="27">
        <f>'MED - Parameterization'!A10</f>
        <v>4</v>
      </c>
      <c r="B10" s="27">
        <f>'MED - Parameterization'!B10</f>
        <v>7950</v>
      </c>
      <c r="C10" s="27">
        <f>'MED - Parameterization'!D10</f>
        <v>4.154</v>
      </c>
      <c r="D10" s="27">
        <f>B10/LCOW_Inputs!$B$5*86400</f>
        <v>686880</v>
      </c>
      <c r="E10" s="27">
        <f>D10*365*LCOW_Inputs!$B$8</f>
        <v>225640080</v>
      </c>
      <c r="F10" s="27">
        <f>LCOW_Inputs!$B$19 * (D10/LCOW_Inputs!$B$18)^LCOW_Inputs!$B$25</f>
        <v>669030721</v>
      </c>
      <c r="G10" s="27">
        <f>F10 * LCOW_Inputs!$B$17</f>
        <v>57409872.21</v>
      </c>
      <c r="H10" s="27">
        <f>F10 * LCOW_Inputs!$B$20</f>
        <v>20070921.63</v>
      </c>
      <c r="I10" s="27">
        <f>E10 * LCOW_Inputs!$B$21</f>
        <v>45128016</v>
      </c>
      <c r="J10" s="27">
        <f>E10 * LCOW_Inputs!$B$22 * LCOW_Inputs!$B$23</f>
        <v>23692208.4</v>
      </c>
      <c r="K10" s="27">
        <f>E10 * LCOW_Inputs!$B$12 * LCOW_Inputs!$B$24</f>
        <v>0</v>
      </c>
      <c r="L10" s="27">
        <f t="shared" si="1"/>
        <v>146301018.2</v>
      </c>
      <c r="M10" s="27">
        <f t="shared" si="2"/>
        <v>0.64838223</v>
      </c>
      <c r="N10" s="27">
        <f t="shared" si="3"/>
        <v>0.2544311818</v>
      </c>
      <c r="O10" s="27">
        <f t="shared" si="4"/>
        <v>0.0889510482</v>
      </c>
      <c r="P10" s="27">
        <f t="shared" si="5"/>
        <v>0.2</v>
      </c>
      <c r="Q10" s="27">
        <f t="shared" si="6"/>
        <v>0.105</v>
      </c>
    </row>
    <row r="11">
      <c r="A11" s="27">
        <f>'MED - Parameterization'!A11</f>
        <v>2</v>
      </c>
      <c r="B11" s="27">
        <f>'MED - Parameterization'!B11</f>
        <v>7751</v>
      </c>
      <c r="C11" s="27">
        <f>'MED - Parameterization'!D11</f>
        <v>4.048</v>
      </c>
      <c r="D11" s="27">
        <f>B11/LCOW_Inputs!$B$5*86400</f>
        <v>669686.4</v>
      </c>
      <c r="E11" s="27">
        <f>D11*365*LCOW_Inputs!$B$8</f>
        <v>219991982.4</v>
      </c>
      <c r="F11" s="27">
        <f>LCOW_Inputs!$B$19 * (D11/LCOW_Inputs!$B$18)^LCOW_Inputs!$B$25</f>
        <v>657263456.2</v>
      </c>
      <c r="G11" s="27">
        <f>F11 * LCOW_Inputs!$B$17</f>
        <v>56400117.13</v>
      </c>
      <c r="H11" s="27">
        <f>F11 * LCOW_Inputs!$B$20</f>
        <v>19717903.69</v>
      </c>
      <c r="I11" s="27">
        <f>E11 * LCOW_Inputs!$B$21</f>
        <v>43998396.48</v>
      </c>
      <c r="J11" s="27">
        <f>E11 * LCOW_Inputs!$B$22 * LCOW_Inputs!$B$23</f>
        <v>23099158.15</v>
      </c>
      <c r="K11" s="27">
        <f>E11 * LCOW_Inputs!$B$12 * LCOW_Inputs!$B$24</f>
        <v>0</v>
      </c>
      <c r="L11" s="27">
        <f t="shared" si="1"/>
        <v>143215575.5</v>
      </c>
      <c r="M11" s="27">
        <f t="shared" si="2"/>
        <v>0.6510036133</v>
      </c>
      <c r="N11" s="27">
        <f t="shared" si="3"/>
        <v>0.256373512</v>
      </c>
      <c r="O11" s="27">
        <f t="shared" si="4"/>
        <v>0.08963010139</v>
      </c>
      <c r="P11" s="27">
        <f t="shared" si="5"/>
        <v>0.2</v>
      </c>
      <c r="Q11" s="27">
        <f t="shared" si="6"/>
        <v>0.105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5" t="s">
        <v>208</v>
      </c>
    </row>
    <row r="2">
      <c r="A2" s="86"/>
      <c r="B2" s="86"/>
    </row>
    <row r="3">
      <c r="A3" s="85" t="s">
        <v>150</v>
      </c>
      <c r="B3" s="89">
        <f>LCOW_Inputs!$B$37</f>
        <v>291297085.9</v>
      </c>
    </row>
    <row r="4">
      <c r="A4" s="85" t="s">
        <v>182</v>
      </c>
      <c r="B4" s="89">
        <f>LCOW_Inputs!$B$17 * LCOW_Inputs!$B$31</f>
        <v>91310880.76</v>
      </c>
    </row>
    <row r="5">
      <c r="A5" s="85" t="s">
        <v>184</v>
      </c>
      <c r="B5" s="89">
        <f>LCOW_Inputs!$B$32 * LCOW_Inputs!$B$31</f>
        <v>31922968.32</v>
      </c>
    </row>
    <row r="6">
      <c r="A6" s="85" t="s">
        <v>186</v>
      </c>
      <c r="B6" s="89">
        <f>LCOW_Inputs!$B$33 * B3</f>
        <v>43694562.89</v>
      </c>
    </row>
    <row r="7">
      <c r="A7" s="85" t="s">
        <v>188</v>
      </c>
      <c r="B7" s="89">
        <f>B3 * LCOW_Inputs!$B$34 * LCOW_Inputs!$B$35</f>
        <v>71367786.05</v>
      </c>
    </row>
    <row r="8">
      <c r="A8" s="85" t="s">
        <v>192</v>
      </c>
      <c r="B8" s="89">
        <f>B4 + B5 + B6 + B7</f>
        <v>238296198</v>
      </c>
    </row>
    <row r="9">
      <c r="A9" s="85" t="s">
        <v>194</v>
      </c>
      <c r="B9" s="89">
        <f>B8 / B3</f>
        <v>0.8180521177</v>
      </c>
    </row>
    <row r="11">
      <c r="A11" s="85" t="s">
        <v>209</v>
      </c>
      <c r="B11" s="89">
        <f t="shared" ref="B11:B14" si="1">B4/$B$3</f>
        <v>0.3134630766</v>
      </c>
    </row>
    <row r="12">
      <c r="A12" s="85" t="s">
        <v>210</v>
      </c>
      <c r="B12" s="89">
        <f t="shared" si="1"/>
        <v>0.1095890411</v>
      </c>
    </row>
    <row r="13">
      <c r="A13" s="85" t="s">
        <v>211</v>
      </c>
      <c r="B13" s="89">
        <f t="shared" si="1"/>
        <v>0.15</v>
      </c>
    </row>
    <row r="14">
      <c r="A14" s="85" t="s">
        <v>212</v>
      </c>
      <c r="B14" s="89">
        <f t="shared" si="1"/>
        <v>0.245</v>
      </c>
    </row>
    <row r="15">
      <c r="A15" s="85" t="s">
        <v>213</v>
      </c>
      <c r="B15" s="89">
        <f>SUM(B11:B14)</f>
        <v>0.8180521177</v>
      </c>
    </row>
  </sheetData>
  <mergeCells count="1">
    <mergeCell ref="A1:B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4.0"/>
    <col customWidth="1" min="2" max="2" width="28.63"/>
    <col customWidth="1" min="5" max="5" width="13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22</v>
      </c>
      <c r="B2" s="4" t="s">
        <v>23</v>
      </c>
      <c r="C2" s="4">
        <v>25.0</v>
      </c>
      <c r="D2" s="13">
        <v>99.97</v>
      </c>
      <c r="E2" s="13">
        <v>101.3</v>
      </c>
      <c r="F2" s="13">
        <v>6.492</v>
      </c>
      <c r="G2" s="13">
        <v>2354.0</v>
      </c>
      <c r="H2" s="13">
        <v>2146.0</v>
      </c>
      <c r="I2" s="13">
        <v>0.8574</v>
      </c>
      <c r="J2" s="1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6"/>
      <c r="B3" s="7" t="s">
        <v>24</v>
      </c>
      <c r="C3" s="7">
        <v>26.0</v>
      </c>
      <c r="D3" s="15">
        <v>99.97</v>
      </c>
      <c r="E3" s="15">
        <v>101.3</v>
      </c>
      <c r="F3" s="15">
        <v>2.293</v>
      </c>
      <c r="G3" s="15">
        <v>786.9</v>
      </c>
      <c r="H3" s="15">
        <v>663.0</v>
      </c>
      <c r="I3" s="15">
        <v>0.163</v>
      </c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6"/>
      <c r="B4" s="7" t="s">
        <v>25</v>
      </c>
      <c r="C4" s="7">
        <v>27.0</v>
      </c>
      <c r="D4" s="15">
        <v>99.97</v>
      </c>
      <c r="E4" s="15">
        <v>101.3</v>
      </c>
      <c r="F4" s="15">
        <v>1.307</v>
      </c>
      <c r="G4" s="15">
        <v>419.1</v>
      </c>
      <c r="H4" s="15">
        <v>314.8</v>
      </c>
      <c r="I4" s="15">
        <v>0.0</v>
      </c>
      <c r="J4" s="1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6"/>
      <c r="B5" s="7" t="s">
        <v>26</v>
      </c>
      <c r="C5" s="7">
        <v>30.0</v>
      </c>
      <c r="D5" s="15">
        <v>20.0</v>
      </c>
      <c r="E5" s="15">
        <v>101.3</v>
      </c>
      <c r="F5" s="15">
        <v>0.2965</v>
      </c>
      <c r="G5" s="15">
        <v>84.01</v>
      </c>
      <c r="H5" s="15">
        <v>0.0</v>
      </c>
      <c r="J5" s="17">
        <v>35.0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6"/>
      <c r="B6" s="7" t="s">
        <v>27</v>
      </c>
      <c r="C6" s="7">
        <v>31.0</v>
      </c>
      <c r="D6" s="15">
        <v>94.97</v>
      </c>
      <c r="E6" s="15">
        <v>101.3</v>
      </c>
      <c r="F6" s="15">
        <v>1.25</v>
      </c>
      <c r="G6" s="15">
        <v>398.0</v>
      </c>
      <c r="H6" s="15">
        <v>294.9</v>
      </c>
      <c r="J6" s="17">
        <v>35.0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6"/>
      <c r="B7" s="7" t="s">
        <v>28</v>
      </c>
      <c r="C7" s="7">
        <v>32.0</v>
      </c>
      <c r="D7" s="15">
        <v>94.97</v>
      </c>
      <c r="E7" s="15">
        <v>84.53</v>
      </c>
      <c r="F7" s="15">
        <v>7.415</v>
      </c>
      <c r="G7" s="15">
        <v>2668.0</v>
      </c>
      <c r="H7" s="15">
        <v>2441.0</v>
      </c>
      <c r="I7" s="15">
        <v>1.0</v>
      </c>
      <c r="J7" s="17">
        <v>0.0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9"/>
      <c r="B8" s="10" t="s">
        <v>29</v>
      </c>
      <c r="C8" s="10">
        <v>33.0</v>
      </c>
      <c r="D8" s="18">
        <v>96.39</v>
      </c>
      <c r="E8" s="18">
        <v>84.53</v>
      </c>
      <c r="F8" s="18">
        <v>1.266</v>
      </c>
      <c r="G8" s="18">
        <v>403.9</v>
      </c>
      <c r="H8" s="18">
        <v>300.5</v>
      </c>
      <c r="I8" s="18">
        <v>0.0</v>
      </c>
      <c r="J8" s="19">
        <v>85.0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3" t="s">
        <v>22</v>
      </c>
      <c r="B9" s="4" t="s">
        <v>30</v>
      </c>
      <c r="C9" s="4">
        <v>40.0</v>
      </c>
      <c r="D9" s="13">
        <v>94.97</v>
      </c>
      <c r="E9" s="13">
        <v>84.53</v>
      </c>
      <c r="F9" s="13">
        <v>7.415</v>
      </c>
      <c r="G9" s="13">
        <v>2668.0</v>
      </c>
      <c r="H9" s="13">
        <v>2441.0</v>
      </c>
      <c r="I9" s="13">
        <v>1.0</v>
      </c>
      <c r="J9" s="14">
        <v>0.0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6"/>
      <c r="B10" s="7" t="s">
        <v>31</v>
      </c>
      <c r="C10" s="7">
        <v>41.0</v>
      </c>
      <c r="D10" s="15">
        <v>94.97</v>
      </c>
      <c r="E10" s="15">
        <v>84.53</v>
      </c>
      <c r="F10" s="15">
        <v>2.353</v>
      </c>
      <c r="G10" s="15">
        <v>803.9</v>
      </c>
      <c r="H10" s="15">
        <v>678.7</v>
      </c>
      <c r="I10" s="15">
        <v>0.1788</v>
      </c>
      <c r="J10" s="16">
        <v>0.0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6"/>
      <c r="B11" s="7" t="s">
        <v>32</v>
      </c>
      <c r="C11" s="7">
        <v>42.0</v>
      </c>
      <c r="D11" s="15">
        <v>94.97</v>
      </c>
      <c r="E11" s="15">
        <v>84.53</v>
      </c>
      <c r="F11" s="15">
        <v>1.25</v>
      </c>
      <c r="G11" s="15">
        <v>398.0</v>
      </c>
      <c r="H11" s="15">
        <v>294.9</v>
      </c>
      <c r="I11" s="15">
        <v>0.0</v>
      </c>
      <c r="J11" s="16">
        <v>0.0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6"/>
      <c r="B12" s="7" t="s">
        <v>33</v>
      </c>
      <c r="C12" s="7">
        <v>43.0</v>
      </c>
      <c r="D12" s="15">
        <v>20.0</v>
      </c>
      <c r="E12" s="15">
        <v>101.3</v>
      </c>
      <c r="F12" s="15">
        <v>0.2965</v>
      </c>
      <c r="G12" s="15">
        <v>84.01</v>
      </c>
      <c r="H12" s="15">
        <v>0.0</v>
      </c>
      <c r="J12" s="17">
        <v>35.0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6"/>
      <c r="B13" s="7" t="s">
        <v>27</v>
      </c>
      <c r="C13" s="7">
        <v>44.0</v>
      </c>
      <c r="D13" s="15">
        <v>89.97</v>
      </c>
      <c r="E13" s="15">
        <v>101.3</v>
      </c>
      <c r="F13" s="15">
        <v>1.193</v>
      </c>
      <c r="G13" s="15">
        <v>377.0</v>
      </c>
      <c r="H13" s="15">
        <v>275.0</v>
      </c>
      <c r="J13" s="17">
        <v>35.0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6"/>
      <c r="B14" s="7" t="s">
        <v>28</v>
      </c>
      <c r="C14" s="7">
        <v>45.0</v>
      </c>
      <c r="D14" s="15">
        <v>89.97</v>
      </c>
      <c r="E14" s="15">
        <v>70.11</v>
      </c>
      <c r="F14" s="15">
        <v>7.478</v>
      </c>
      <c r="G14" s="15">
        <v>2660.0</v>
      </c>
      <c r="H14" s="15">
        <v>2432.0</v>
      </c>
      <c r="I14" s="15">
        <v>1.0</v>
      </c>
      <c r="J14" s="17">
        <v>0.0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9"/>
      <c r="B15" s="10" t="s">
        <v>29</v>
      </c>
      <c r="C15" s="10">
        <v>46.0</v>
      </c>
      <c r="D15" s="18">
        <v>91.39</v>
      </c>
      <c r="E15" s="18">
        <v>70.11</v>
      </c>
      <c r="F15" s="18">
        <v>1.209</v>
      </c>
      <c r="G15" s="18">
        <v>382.9</v>
      </c>
      <c r="H15" s="18">
        <v>280.6</v>
      </c>
      <c r="I15" s="18">
        <v>0.0</v>
      </c>
      <c r="J15" s="19">
        <v>85.0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3" t="s">
        <v>34</v>
      </c>
      <c r="B16" s="4" t="s">
        <v>30</v>
      </c>
      <c r="C16" s="4">
        <v>50.0</v>
      </c>
      <c r="D16" s="13">
        <v>89.97</v>
      </c>
      <c r="E16" s="13">
        <v>70.11</v>
      </c>
      <c r="F16" s="13">
        <v>7.478</v>
      </c>
      <c r="G16" s="13">
        <v>2660.0</v>
      </c>
      <c r="H16" s="13">
        <v>2432.0</v>
      </c>
      <c r="I16" s="13">
        <v>1.0</v>
      </c>
      <c r="J16" s="14">
        <v>0.0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6"/>
      <c r="B17" s="7" t="s">
        <v>31</v>
      </c>
      <c r="C17" s="7">
        <v>51.0</v>
      </c>
      <c r="D17" s="15">
        <v>89.97</v>
      </c>
      <c r="E17" s="15">
        <v>70.11</v>
      </c>
      <c r="F17" s="15">
        <v>2.245</v>
      </c>
      <c r="G17" s="15">
        <v>759.0</v>
      </c>
      <c r="H17" s="15">
        <v>636.0</v>
      </c>
      <c r="I17" s="15">
        <v>0.1674</v>
      </c>
      <c r="J17" s="16">
        <v>0.0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6"/>
      <c r="B18" s="7" t="s">
        <v>32</v>
      </c>
      <c r="C18" s="7">
        <v>52.0</v>
      </c>
      <c r="D18" s="15">
        <v>89.97</v>
      </c>
      <c r="E18" s="15">
        <v>70.11</v>
      </c>
      <c r="F18" s="15">
        <v>1.193</v>
      </c>
      <c r="G18" s="15">
        <v>376.9</v>
      </c>
      <c r="H18" s="15">
        <v>275.0</v>
      </c>
      <c r="I18" s="15">
        <v>0.0</v>
      </c>
      <c r="J18" s="16">
        <v>0.0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6"/>
      <c r="B19" s="7" t="s">
        <v>33</v>
      </c>
      <c r="C19" s="7">
        <v>53.0</v>
      </c>
      <c r="D19" s="15">
        <v>20.0</v>
      </c>
      <c r="E19" s="15">
        <v>101.3</v>
      </c>
      <c r="F19" s="15">
        <v>0.2965</v>
      </c>
      <c r="G19" s="15">
        <v>84.01</v>
      </c>
      <c r="H19" s="15">
        <v>0.0</v>
      </c>
      <c r="J19" s="17">
        <v>35.0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6"/>
      <c r="B20" s="7" t="s">
        <v>27</v>
      </c>
      <c r="C20" s="7">
        <v>54.0</v>
      </c>
      <c r="D20" s="15">
        <v>84.97</v>
      </c>
      <c r="E20" s="15">
        <v>101.3</v>
      </c>
      <c r="F20" s="15">
        <v>1.134</v>
      </c>
      <c r="G20" s="15">
        <v>355.9</v>
      </c>
      <c r="H20" s="15">
        <v>255.2</v>
      </c>
      <c r="J20" s="17">
        <v>35.0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6"/>
      <c r="B21" s="7" t="s">
        <v>28</v>
      </c>
      <c r="C21" s="7">
        <v>55.0</v>
      </c>
      <c r="D21" s="15">
        <v>84.97</v>
      </c>
      <c r="E21" s="15">
        <v>57.81</v>
      </c>
      <c r="F21" s="15">
        <v>7.544</v>
      </c>
      <c r="G21" s="15">
        <v>2651.0</v>
      </c>
      <c r="H21" s="15">
        <v>2422.0</v>
      </c>
      <c r="I21" s="15">
        <v>1.0</v>
      </c>
      <c r="J21" s="17">
        <v>0.0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9"/>
      <c r="B22" s="10" t="s">
        <v>29</v>
      </c>
      <c r="C22" s="10">
        <v>56.0</v>
      </c>
      <c r="D22" s="18">
        <v>86.39</v>
      </c>
      <c r="E22" s="18">
        <v>57.81</v>
      </c>
      <c r="F22" s="18">
        <v>1.151</v>
      </c>
      <c r="G22" s="18">
        <v>361.9</v>
      </c>
      <c r="H22" s="18">
        <v>260.8</v>
      </c>
      <c r="I22" s="18">
        <v>0.0</v>
      </c>
      <c r="J22" s="19">
        <v>85.0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3" t="s">
        <v>35</v>
      </c>
      <c r="B23" s="4" t="s">
        <v>30</v>
      </c>
      <c r="C23" s="4">
        <f t="shared" ref="C23:C106" si="1">C16+10</f>
        <v>60</v>
      </c>
      <c r="D23" s="13">
        <v>84.97</v>
      </c>
      <c r="E23" s="13">
        <v>57.81</v>
      </c>
      <c r="F23" s="13">
        <v>7.544</v>
      </c>
      <c r="G23" s="13">
        <v>2651.0</v>
      </c>
      <c r="H23" s="13">
        <v>2422.0</v>
      </c>
      <c r="I23" s="13">
        <v>1.0</v>
      </c>
      <c r="J23" s="14">
        <v>0.0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6"/>
      <c r="B24" s="7" t="s">
        <v>31</v>
      </c>
      <c r="C24" s="7">
        <f t="shared" si="1"/>
        <v>61</v>
      </c>
      <c r="D24" s="15">
        <v>84.97</v>
      </c>
      <c r="E24" s="15">
        <v>57.81</v>
      </c>
      <c r="F24" s="15">
        <v>2.133</v>
      </c>
      <c r="G24" s="15">
        <v>713.4</v>
      </c>
      <c r="H24" s="15">
        <v>592.7</v>
      </c>
      <c r="I24" s="15">
        <v>0.1558</v>
      </c>
      <c r="J24" s="16">
        <v>0.0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6"/>
      <c r="B25" s="7" t="s">
        <v>32</v>
      </c>
      <c r="C25" s="7">
        <f t="shared" si="1"/>
        <v>62</v>
      </c>
      <c r="D25" s="15">
        <v>84.97</v>
      </c>
      <c r="E25" s="15">
        <v>57.81</v>
      </c>
      <c r="F25" s="15">
        <v>1.134</v>
      </c>
      <c r="G25" s="15">
        <v>355.9</v>
      </c>
      <c r="H25" s="15">
        <v>255.1</v>
      </c>
      <c r="I25" s="15">
        <v>0.0</v>
      </c>
      <c r="J25" s="16">
        <v>0.0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6"/>
      <c r="B26" s="7" t="s">
        <v>33</v>
      </c>
      <c r="C26" s="7">
        <f t="shared" si="1"/>
        <v>63</v>
      </c>
      <c r="D26" s="15">
        <v>20.0</v>
      </c>
      <c r="E26" s="15">
        <v>101.3</v>
      </c>
      <c r="F26" s="15">
        <v>0.2965</v>
      </c>
      <c r="G26" s="15">
        <v>84.01</v>
      </c>
      <c r="H26" s="15">
        <v>0.0</v>
      </c>
      <c r="J26" s="17">
        <v>35.0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6"/>
      <c r="B27" s="7" t="s">
        <v>27</v>
      </c>
      <c r="C27" s="7">
        <f t="shared" si="1"/>
        <v>64</v>
      </c>
      <c r="D27" s="15">
        <v>79.97</v>
      </c>
      <c r="E27" s="15">
        <v>101.3</v>
      </c>
      <c r="F27" s="15">
        <v>1.075</v>
      </c>
      <c r="G27" s="15">
        <v>334.9</v>
      </c>
      <c r="H27" s="15">
        <v>235.4</v>
      </c>
      <c r="J27" s="17">
        <v>35.0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6"/>
      <c r="B28" s="7" t="s">
        <v>28</v>
      </c>
      <c r="C28" s="7">
        <f t="shared" si="1"/>
        <v>65</v>
      </c>
      <c r="D28" s="15">
        <v>79.97</v>
      </c>
      <c r="E28" s="15">
        <v>47.37</v>
      </c>
      <c r="F28" s="15">
        <v>7.611</v>
      </c>
      <c r="G28" s="15">
        <v>2643.0</v>
      </c>
      <c r="H28" s="15">
        <v>2413.0</v>
      </c>
      <c r="I28" s="15">
        <v>1.0</v>
      </c>
      <c r="J28" s="17">
        <v>0.0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9"/>
      <c r="B29" s="10" t="s">
        <v>29</v>
      </c>
      <c r="C29" s="10">
        <f t="shared" si="1"/>
        <v>66</v>
      </c>
      <c r="D29" s="18">
        <v>81.39</v>
      </c>
      <c r="E29" s="18">
        <v>47.37</v>
      </c>
      <c r="F29" s="18">
        <v>1.092</v>
      </c>
      <c r="G29" s="18">
        <v>340.8</v>
      </c>
      <c r="H29" s="18">
        <v>240.9</v>
      </c>
      <c r="I29" s="18">
        <v>0.0</v>
      </c>
      <c r="J29" s="19">
        <v>85.0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3" t="s">
        <v>36</v>
      </c>
      <c r="B30" s="4" t="s">
        <v>30</v>
      </c>
      <c r="C30" s="4">
        <f t="shared" si="1"/>
        <v>70</v>
      </c>
      <c r="D30" s="13">
        <v>79.97</v>
      </c>
      <c r="E30" s="13">
        <v>47.37</v>
      </c>
      <c r="F30" s="13">
        <v>7.611</v>
      </c>
      <c r="G30" s="13">
        <v>2643.0</v>
      </c>
      <c r="H30" s="13">
        <v>2413.0</v>
      </c>
      <c r="I30" s="13">
        <v>1.0</v>
      </c>
      <c r="J30" s="14">
        <v>0.0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6"/>
      <c r="B31" s="7" t="s">
        <v>31</v>
      </c>
      <c r="C31" s="7">
        <f t="shared" si="1"/>
        <v>71</v>
      </c>
      <c r="D31" s="15">
        <v>79.97</v>
      </c>
      <c r="E31" s="15">
        <v>47.37</v>
      </c>
      <c r="F31" s="15">
        <v>2.016</v>
      </c>
      <c r="G31" s="15">
        <v>667.2</v>
      </c>
      <c r="H31" s="15">
        <v>548.8</v>
      </c>
      <c r="I31" s="15">
        <v>0.144</v>
      </c>
      <c r="J31" s="16">
        <v>0.0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6"/>
      <c r="B32" s="7" t="s">
        <v>32</v>
      </c>
      <c r="C32" s="7">
        <f t="shared" si="1"/>
        <v>72</v>
      </c>
      <c r="D32" s="15">
        <v>79.97</v>
      </c>
      <c r="E32" s="15">
        <v>47.37</v>
      </c>
      <c r="F32" s="15">
        <v>1.075</v>
      </c>
      <c r="G32" s="15">
        <v>334.9</v>
      </c>
      <c r="H32" s="15">
        <v>235.3</v>
      </c>
      <c r="I32" s="15">
        <v>0.0</v>
      </c>
      <c r="J32" s="16">
        <v>0.0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6"/>
      <c r="B33" s="7" t="s">
        <v>33</v>
      </c>
      <c r="C33" s="7">
        <f t="shared" si="1"/>
        <v>73</v>
      </c>
      <c r="D33" s="15">
        <v>20.0</v>
      </c>
      <c r="E33" s="15">
        <v>101.3</v>
      </c>
      <c r="F33" s="15">
        <v>0.2965</v>
      </c>
      <c r="G33" s="15">
        <v>84.01</v>
      </c>
      <c r="H33" s="15">
        <v>0.0</v>
      </c>
      <c r="J33" s="17">
        <v>35.0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6"/>
      <c r="B34" s="7" t="s">
        <v>27</v>
      </c>
      <c r="C34" s="7">
        <f t="shared" si="1"/>
        <v>74</v>
      </c>
      <c r="D34" s="15">
        <v>74.97</v>
      </c>
      <c r="E34" s="15">
        <v>101.3</v>
      </c>
      <c r="F34" s="15">
        <v>1.015</v>
      </c>
      <c r="G34" s="15">
        <v>314.0</v>
      </c>
      <c r="H34" s="15">
        <v>215.6</v>
      </c>
      <c r="J34" s="17">
        <v>35.0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6"/>
      <c r="B35" s="7" t="s">
        <v>28</v>
      </c>
      <c r="C35" s="7">
        <f t="shared" si="1"/>
        <v>75</v>
      </c>
      <c r="D35" s="15">
        <v>74.97</v>
      </c>
      <c r="E35" s="15">
        <v>38.56</v>
      </c>
      <c r="F35" s="15">
        <v>7.682</v>
      </c>
      <c r="G35" s="15">
        <v>2635.0</v>
      </c>
      <c r="H35" s="15">
        <v>2403.0</v>
      </c>
      <c r="I35" s="15">
        <v>1.0</v>
      </c>
      <c r="J35" s="17">
        <v>0.0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9"/>
      <c r="B36" s="10" t="s">
        <v>29</v>
      </c>
      <c r="C36" s="10">
        <f t="shared" si="1"/>
        <v>76</v>
      </c>
      <c r="D36" s="18">
        <v>76.39</v>
      </c>
      <c r="E36" s="18">
        <v>38.56</v>
      </c>
      <c r="F36" s="18">
        <v>1.032</v>
      </c>
      <c r="G36" s="18">
        <v>319.9</v>
      </c>
      <c r="H36" s="18">
        <v>221.1</v>
      </c>
      <c r="I36" s="18">
        <v>0.0</v>
      </c>
      <c r="J36" s="19">
        <v>85.0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3" t="s">
        <v>37</v>
      </c>
      <c r="B37" s="4" t="s">
        <v>30</v>
      </c>
      <c r="C37" s="4">
        <f t="shared" si="1"/>
        <v>80</v>
      </c>
      <c r="D37" s="13">
        <v>74.97</v>
      </c>
      <c r="E37" s="13">
        <v>38.56</v>
      </c>
      <c r="F37" s="13">
        <v>7.682</v>
      </c>
      <c r="G37" s="13">
        <v>2635.0</v>
      </c>
      <c r="H37" s="13">
        <v>2403.0</v>
      </c>
      <c r="I37" s="13">
        <v>1.0</v>
      </c>
      <c r="J37" s="14">
        <v>0.0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6"/>
      <c r="B38" s="7" t="s">
        <v>31</v>
      </c>
      <c r="C38" s="7">
        <f t="shared" si="1"/>
        <v>81</v>
      </c>
      <c r="D38" s="15">
        <v>74.97</v>
      </c>
      <c r="E38" s="15">
        <v>38.56</v>
      </c>
      <c r="F38" s="15">
        <v>1.895</v>
      </c>
      <c r="G38" s="15">
        <v>620.2</v>
      </c>
      <c r="H38" s="15">
        <v>504.2</v>
      </c>
      <c r="I38" s="15">
        <v>0.132</v>
      </c>
      <c r="J38" s="16">
        <v>0.0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6"/>
      <c r="B39" s="7" t="s">
        <v>32</v>
      </c>
      <c r="C39" s="7">
        <f t="shared" si="1"/>
        <v>82</v>
      </c>
      <c r="D39" s="15">
        <v>74.97</v>
      </c>
      <c r="E39" s="15">
        <v>38.56</v>
      </c>
      <c r="F39" s="15">
        <v>1.015</v>
      </c>
      <c r="G39" s="15">
        <v>313.9</v>
      </c>
      <c r="H39" s="15">
        <v>215.5</v>
      </c>
      <c r="I39" s="15">
        <v>0.0</v>
      </c>
      <c r="J39" s="16">
        <v>0.0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6"/>
      <c r="B40" s="7" t="s">
        <v>33</v>
      </c>
      <c r="C40" s="7">
        <f t="shared" si="1"/>
        <v>83</v>
      </c>
      <c r="D40" s="15">
        <v>20.0</v>
      </c>
      <c r="E40" s="15">
        <v>101.3</v>
      </c>
      <c r="F40" s="15">
        <v>0.2965</v>
      </c>
      <c r="G40" s="15">
        <v>84.01</v>
      </c>
      <c r="H40" s="15">
        <v>0.0</v>
      </c>
      <c r="J40" s="17">
        <v>35.0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6"/>
      <c r="B41" s="7" t="s">
        <v>27</v>
      </c>
      <c r="C41" s="7">
        <f t="shared" si="1"/>
        <v>84</v>
      </c>
      <c r="D41" s="15">
        <v>69.97</v>
      </c>
      <c r="E41" s="15">
        <v>101.3</v>
      </c>
      <c r="F41" s="15">
        <v>0.9548</v>
      </c>
      <c r="G41" s="15">
        <v>293.0</v>
      </c>
      <c r="H41" s="15">
        <v>195.8</v>
      </c>
      <c r="J41" s="17">
        <v>35.0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6"/>
      <c r="B42" s="7" t="s">
        <v>28</v>
      </c>
      <c r="C42" s="7">
        <f t="shared" si="1"/>
        <v>85</v>
      </c>
      <c r="D42" s="15">
        <v>69.97</v>
      </c>
      <c r="E42" s="15">
        <v>31.17</v>
      </c>
      <c r="F42" s="15">
        <v>7.754</v>
      </c>
      <c r="G42" s="15">
        <v>2626.0</v>
      </c>
      <c r="H42" s="15">
        <v>2393.0</v>
      </c>
      <c r="I42" s="15">
        <v>1.0</v>
      </c>
      <c r="J42" s="17">
        <v>0.0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9"/>
      <c r="B43" s="10" t="s">
        <v>29</v>
      </c>
      <c r="C43" s="10">
        <f t="shared" si="1"/>
        <v>86</v>
      </c>
      <c r="D43" s="18">
        <v>71.39</v>
      </c>
      <c r="E43" s="18">
        <v>31.17</v>
      </c>
      <c r="F43" s="18">
        <v>0.9721</v>
      </c>
      <c r="G43" s="18">
        <v>298.9</v>
      </c>
      <c r="H43" s="18">
        <v>201.4</v>
      </c>
      <c r="I43" s="18">
        <v>0.0</v>
      </c>
      <c r="J43" s="19">
        <v>85.0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3" t="s">
        <v>38</v>
      </c>
      <c r="B44" s="4" t="s">
        <v>30</v>
      </c>
      <c r="C44" s="4">
        <f t="shared" si="1"/>
        <v>90</v>
      </c>
      <c r="D44" s="13">
        <v>69.97</v>
      </c>
      <c r="E44" s="13">
        <v>31.17</v>
      </c>
      <c r="F44" s="13">
        <v>7.754</v>
      </c>
      <c r="G44" s="13">
        <v>2626.0</v>
      </c>
      <c r="H44" s="13">
        <v>2393.0</v>
      </c>
      <c r="I44" s="13">
        <v>1.0</v>
      </c>
      <c r="J44" s="14">
        <v>0.0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6"/>
      <c r="B45" s="7" t="s">
        <v>31</v>
      </c>
      <c r="C45" s="7">
        <f t="shared" si="1"/>
        <v>91</v>
      </c>
      <c r="D45" s="15">
        <v>69.97</v>
      </c>
      <c r="E45" s="15">
        <v>31.17</v>
      </c>
      <c r="F45" s="15">
        <v>1.769</v>
      </c>
      <c r="G45" s="15">
        <v>572.4</v>
      </c>
      <c r="H45" s="15">
        <v>458.9</v>
      </c>
      <c r="I45" s="15">
        <v>0.1198</v>
      </c>
      <c r="J45" s="16">
        <v>0.0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6"/>
      <c r="B46" s="7" t="s">
        <v>32</v>
      </c>
      <c r="C46" s="7">
        <f t="shared" si="1"/>
        <v>92</v>
      </c>
      <c r="D46" s="15">
        <v>69.97</v>
      </c>
      <c r="E46" s="15">
        <v>31.17</v>
      </c>
      <c r="F46" s="15">
        <v>0.9548</v>
      </c>
      <c r="G46" s="15">
        <v>293.0</v>
      </c>
      <c r="H46" s="15">
        <v>195.8</v>
      </c>
      <c r="I46" s="15">
        <v>0.0</v>
      </c>
      <c r="J46" s="16">
        <v>0.0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6"/>
      <c r="B47" s="7" t="s">
        <v>33</v>
      </c>
      <c r="C47" s="7">
        <f t="shared" si="1"/>
        <v>93</v>
      </c>
      <c r="D47" s="15">
        <v>20.0</v>
      </c>
      <c r="E47" s="15">
        <v>101.3</v>
      </c>
      <c r="F47" s="15">
        <v>0.2965</v>
      </c>
      <c r="G47" s="15">
        <v>84.01</v>
      </c>
      <c r="H47" s="15">
        <v>0.0</v>
      </c>
      <c r="J47" s="17">
        <v>35.0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6"/>
      <c r="B48" s="7" t="s">
        <v>27</v>
      </c>
      <c r="C48" s="7">
        <f t="shared" si="1"/>
        <v>94</v>
      </c>
      <c r="D48" s="15">
        <v>64.97</v>
      </c>
      <c r="E48" s="15">
        <v>101.3</v>
      </c>
      <c r="F48" s="15">
        <v>0.8933</v>
      </c>
      <c r="G48" s="15">
        <v>272.1</v>
      </c>
      <c r="H48" s="15">
        <v>176.1</v>
      </c>
      <c r="J48" s="17">
        <v>35.0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6"/>
      <c r="B49" s="7" t="s">
        <v>28</v>
      </c>
      <c r="C49" s="7">
        <f t="shared" si="1"/>
        <v>95</v>
      </c>
      <c r="D49" s="15">
        <v>64.97</v>
      </c>
      <c r="E49" s="15">
        <v>25.01</v>
      </c>
      <c r="F49" s="15">
        <v>7.83</v>
      </c>
      <c r="G49" s="15">
        <v>2617.0</v>
      </c>
      <c r="H49" s="15">
        <v>2383.0</v>
      </c>
      <c r="I49" s="15">
        <v>1.0</v>
      </c>
      <c r="J49" s="17">
        <v>0.0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9"/>
      <c r="B50" s="10" t="s">
        <v>29</v>
      </c>
      <c r="C50" s="10">
        <f t="shared" si="1"/>
        <v>96</v>
      </c>
      <c r="D50" s="18">
        <v>66.39</v>
      </c>
      <c r="E50" s="18">
        <v>25.01</v>
      </c>
      <c r="F50" s="18">
        <v>0.9108</v>
      </c>
      <c r="G50" s="18">
        <v>277.9</v>
      </c>
      <c r="H50" s="18">
        <v>181.6</v>
      </c>
      <c r="I50" s="18">
        <v>0.0</v>
      </c>
      <c r="J50" s="19">
        <v>85.0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3" t="s">
        <v>39</v>
      </c>
      <c r="B51" s="4" t="s">
        <v>30</v>
      </c>
      <c r="C51" s="4">
        <f t="shared" si="1"/>
        <v>100</v>
      </c>
      <c r="D51" s="13">
        <v>64.97</v>
      </c>
      <c r="E51" s="13">
        <v>25.01</v>
      </c>
      <c r="F51" s="13">
        <v>7.83</v>
      </c>
      <c r="G51" s="13">
        <v>2617.0</v>
      </c>
      <c r="H51" s="13">
        <v>2383.0</v>
      </c>
      <c r="I51" s="13">
        <v>1.0</v>
      </c>
      <c r="J51" s="14">
        <v>0.0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6"/>
      <c r="B52" s="7" t="s">
        <v>31</v>
      </c>
      <c r="C52" s="7">
        <f t="shared" si="1"/>
        <v>101</v>
      </c>
      <c r="D52" s="15">
        <v>64.97</v>
      </c>
      <c r="E52" s="15">
        <v>25.01</v>
      </c>
      <c r="F52" s="15">
        <v>1.638</v>
      </c>
      <c r="G52" s="15">
        <v>523.9</v>
      </c>
      <c r="H52" s="15">
        <v>413.0</v>
      </c>
      <c r="I52" s="15">
        <v>0.1074</v>
      </c>
      <c r="J52" s="16">
        <v>0.0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6"/>
      <c r="B53" s="7" t="s">
        <v>32</v>
      </c>
      <c r="C53" s="7">
        <f t="shared" si="1"/>
        <v>102</v>
      </c>
      <c r="D53" s="15">
        <v>64.97</v>
      </c>
      <c r="E53" s="15">
        <v>25.01</v>
      </c>
      <c r="F53" s="15">
        <v>0.8933</v>
      </c>
      <c r="G53" s="15">
        <v>272.0</v>
      </c>
      <c r="H53" s="15">
        <v>176.1</v>
      </c>
      <c r="I53" s="15">
        <v>0.0</v>
      </c>
      <c r="J53" s="16">
        <v>0.0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6"/>
      <c r="B54" s="7" t="s">
        <v>33</v>
      </c>
      <c r="C54" s="7">
        <f t="shared" si="1"/>
        <v>103</v>
      </c>
      <c r="D54" s="15">
        <v>20.0</v>
      </c>
      <c r="E54" s="15">
        <v>101.3</v>
      </c>
      <c r="F54" s="15">
        <v>0.2965</v>
      </c>
      <c r="G54" s="15">
        <v>84.01</v>
      </c>
      <c r="H54" s="15">
        <v>0.0</v>
      </c>
      <c r="J54" s="17">
        <v>35.0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6"/>
      <c r="B55" s="7" t="s">
        <v>27</v>
      </c>
      <c r="C55" s="7">
        <f t="shared" si="1"/>
        <v>104</v>
      </c>
      <c r="D55" s="15">
        <v>59.97</v>
      </c>
      <c r="E55" s="15">
        <v>101.3</v>
      </c>
      <c r="F55" s="15">
        <v>0.8309</v>
      </c>
      <c r="G55" s="15">
        <v>251.1</v>
      </c>
      <c r="H55" s="15">
        <v>156.4</v>
      </c>
      <c r="J55" s="17">
        <v>35.0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6"/>
      <c r="B56" s="7" t="s">
        <v>28</v>
      </c>
      <c r="C56" s="7">
        <f t="shared" si="1"/>
        <v>105</v>
      </c>
      <c r="D56" s="15">
        <v>59.97</v>
      </c>
      <c r="E56" s="15">
        <v>19.92</v>
      </c>
      <c r="F56" s="15">
        <v>7.909</v>
      </c>
      <c r="G56" s="15">
        <v>2609.0</v>
      </c>
      <c r="H56" s="15">
        <v>2373.0</v>
      </c>
      <c r="I56" s="15">
        <v>1.0</v>
      </c>
      <c r="J56" s="17">
        <v>0.0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9"/>
      <c r="B57" s="10" t="s">
        <v>29</v>
      </c>
      <c r="C57" s="10">
        <f t="shared" si="1"/>
        <v>106</v>
      </c>
      <c r="D57" s="18">
        <v>61.39</v>
      </c>
      <c r="E57" s="18">
        <v>19.92</v>
      </c>
      <c r="F57" s="18">
        <v>0.8487</v>
      </c>
      <c r="G57" s="18">
        <v>257.0</v>
      </c>
      <c r="H57" s="18">
        <v>161.9</v>
      </c>
      <c r="I57" s="18">
        <v>0.0</v>
      </c>
      <c r="J57" s="19">
        <v>85.0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3" t="s">
        <v>40</v>
      </c>
      <c r="B58" s="4" t="s">
        <v>30</v>
      </c>
      <c r="C58" s="4">
        <f t="shared" si="1"/>
        <v>110</v>
      </c>
      <c r="D58" s="13">
        <v>59.97</v>
      </c>
      <c r="E58" s="13">
        <v>19.92</v>
      </c>
      <c r="F58" s="13">
        <v>7.909</v>
      </c>
      <c r="G58" s="13">
        <v>2609.0</v>
      </c>
      <c r="H58" s="13">
        <v>2373.0</v>
      </c>
      <c r="I58" s="13">
        <v>1.0</v>
      </c>
      <c r="J58" s="14">
        <v>0.0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6"/>
      <c r="B59" s="7" t="s">
        <v>31</v>
      </c>
      <c r="C59" s="7">
        <f t="shared" si="1"/>
        <v>111</v>
      </c>
      <c r="D59" s="15">
        <v>59.97</v>
      </c>
      <c r="E59" s="15">
        <v>19.92</v>
      </c>
      <c r="F59" s="15">
        <v>1.502</v>
      </c>
      <c r="G59" s="15">
        <v>474.5</v>
      </c>
      <c r="H59" s="15">
        <v>366.4</v>
      </c>
      <c r="I59" s="15">
        <v>0.09478</v>
      </c>
      <c r="J59" s="16">
        <v>0.0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6"/>
      <c r="B60" s="7" t="s">
        <v>32</v>
      </c>
      <c r="C60" s="7">
        <f t="shared" si="1"/>
        <v>112</v>
      </c>
      <c r="D60" s="15">
        <v>59.97</v>
      </c>
      <c r="E60" s="15">
        <v>19.92</v>
      </c>
      <c r="F60" s="15">
        <v>0.831</v>
      </c>
      <c r="G60" s="15">
        <v>251.1</v>
      </c>
      <c r="H60" s="15">
        <v>156.4</v>
      </c>
      <c r="I60" s="15">
        <v>0.0</v>
      </c>
      <c r="J60" s="16">
        <v>0.0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6"/>
      <c r="B61" s="7" t="s">
        <v>33</v>
      </c>
      <c r="C61" s="7">
        <f t="shared" si="1"/>
        <v>113</v>
      </c>
      <c r="D61" s="15">
        <v>20.0</v>
      </c>
      <c r="E61" s="15">
        <v>101.3</v>
      </c>
      <c r="F61" s="15">
        <v>0.2965</v>
      </c>
      <c r="G61" s="15">
        <v>84.01</v>
      </c>
      <c r="H61" s="15">
        <v>0.0</v>
      </c>
      <c r="J61" s="17">
        <v>35.0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6"/>
      <c r="B62" s="7" t="s">
        <v>27</v>
      </c>
      <c r="C62" s="7">
        <f t="shared" si="1"/>
        <v>114</v>
      </c>
      <c r="D62" s="15">
        <v>54.97</v>
      </c>
      <c r="E62" s="15">
        <v>101.3</v>
      </c>
      <c r="F62" s="15">
        <v>0.7677</v>
      </c>
      <c r="G62" s="15">
        <v>230.2</v>
      </c>
      <c r="H62" s="15">
        <v>136.8</v>
      </c>
      <c r="J62" s="17">
        <v>35.0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6"/>
      <c r="B63" s="7" t="s">
        <v>28</v>
      </c>
      <c r="C63" s="7">
        <f t="shared" si="1"/>
        <v>115</v>
      </c>
      <c r="D63" s="15">
        <v>54.97</v>
      </c>
      <c r="E63" s="15">
        <v>15.74</v>
      </c>
      <c r="F63" s="15">
        <v>7.99</v>
      </c>
      <c r="G63" s="15">
        <v>2600.0</v>
      </c>
      <c r="H63" s="15">
        <v>2362.0</v>
      </c>
      <c r="I63" s="15">
        <v>1.0</v>
      </c>
      <c r="J63" s="17">
        <v>0.0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9"/>
      <c r="B64" s="10" t="s">
        <v>29</v>
      </c>
      <c r="C64" s="10">
        <f t="shared" si="1"/>
        <v>116</v>
      </c>
      <c r="D64" s="18">
        <v>56.39</v>
      </c>
      <c r="E64" s="18">
        <v>15.74</v>
      </c>
      <c r="F64" s="18">
        <v>0.7857</v>
      </c>
      <c r="G64" s="18">
        <v>236.1</v>
      </c>
      <c r="H64" s="18">
        <v>142.3</v>
      </c>
      <c r="I64" s="18">
        <v>0.0</v>
      </c>
      <c r="J64" s="19">
        <v>85.0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3" t="s">
        <v>41</v>
      </c>
      <c r="B65" s="4" t="s">
        <v>30</v>
      </c>
      <c r="C65" s="4">
        <f t="shared" si="1"/>
        <v>120</v>
      </c>
      <c r="D65" s="13">
        <v>54.97</v>
      </c>
      <c r="E65" s="13">
        <v>15.74</v>
      </c>
      <c r="F65" s="13">
        <v>7.99</v>
      </c>
      <c r="G65" s="13">
        <v>2600.0</v>
      </c>
      <c r="H65" s="13">
        <v>2362.0</v>
      </c>
      <c r="I65" s="13">
        <v>1.0</v>
      </c>
      <c r="J65" s="14">
        <v>0.0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6"/>
      <c r="B66" s="7" t="s">
        <v>31</v>
      </c>
      <c r="C66" s="7">
        <f t="shared" si="1"/>
        <v>121</v>
      </c>
      <c r="D66" s="15">
        <v>54.97</v>
      </c>
      <c r="E66" s="15">
        <v>15.74</v>
      </c>
      <c r="F66" s="15">
        <v>1.36</v>
      </c>
      <c r="G66" s="15">
        <v>424.4</v>
      </c>
      <c r="H66" s="15">
        <v>319.1</v>
      </c>
      <c r="I66" s="15">
        <v>0.08196</v>
      </c>
      <c r="J66" s="16">
        <v>0.0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6"/>
      <c r="B67" s="7" t="s">
        <v>32</v>
      </c>
      <c r="C67" s="7">
        <f t="shared" si="1"/>
        <v>122</v>
      </c>
      <c r="D67" s="15">
        <v>54.97</v>
      </c>
      <c r="E67" s="15">
        <v>15.74</v>
      </c>
      <c r="F67" s="15">
        <v>0.7677</v>
      </c>
      <c r="G67" s="15">
        <v>230.2</v>
      </c>
      <c r="H67" s="15">
        <v>136.7</v>
      </c>
      <c r="I67" s="15">
        <v>0.0</v>
      </c>
      <c r="J67" s="16">
        <v>0.0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6"/>
      <c r="B68" s="7" t="s">
        <v>33</v>
      </c>
      <c r="C68" s="7">
        <f t="shared" si="1"/>
        <v>123</v>
      </c>
      <c r="D68" s="15">
        <v>20.0</v>
      </c>
      <c r="E68" s="15">
        <v>101.3</v>
      </c>
      <c r="F68" s="15">
        <v>0.2965</v>
      </c>
      <c r="G68" s="15">
        <v>84.01</v>
      </c>
      <c r="H68" s="15">
        <v>0.0</v>
      </c>
      <c r="J68" s="17">
        <v>35.0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6"/>
      <c r="B69" s="7" t="s">
        <v>27</v>
      </c>
      <c r="C69" s="7">
        <f t="shared" si="1"/>
        <v>124</v>
      </c>
      <c r="D69" s="15">
        <v>49.97</v>
      </c>
      <c r="E69" s="15">
        <v>101.3</v>
      </c>
      <c r="F69" s="15">
        <v>0.7034</v>
      </c>
      <c r="G69" s="15">
        <v>209.3</v>
      </c>
      <c r="H69" s="15">
        <v>117.2</v>
      </c>
      <c r="J69" s="17">
        <v>35.0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6"/>
      <c r="B70" s="7" t="s">
        <v>28</v>
      </c>
      <c r="C70" s="7">
        <f t="shared" si="1"/>
        <v>125</v>
      </c>
      <c r="D70" s="15">
        <v>49.97</v>
      </c>
      <c r="E70" s="15">
        <v>12.34</v>
      </c>
      <c r="F70" s="15">
        <v>8.075</v>
      </c>
      <c r="G70" s="15">
        <v>2591.0</v>
      </c>
      <c r="H70" s="15">
        <v>2352.0</v>
      </c>
      <c r="I70" s="15">
        <v>1.0</v>
      </c>
      <c r="J70" s="17">
        <v>0.0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9"/>
      <c r="B71" s="10" t="s">
        <v>29</v>
      </c>
      <c r="C71" s="10">
        <f t="shared" si="1"/>
        <v>126</v>
      </c>
      <c r="D71" s="18">
        <v>51.39</v>
      </c>
      <c r="E71" s="18">
        <v>12.34</v>
      </c>
      <c r="F71" s="18">
        <v>0.7218</v>
      </c>
      <c r="G71" s="18">
        <v>215.2</v>
      </c>
      <c r="H71" s="18">
        <v>122.6</v>
      </c>
      <c r="I71" s="18">
        <v>0.0</v>
      </c>
      <c r="J71" s="19">
        <v>85.0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3" t="s">
        <v>42</v>
      </c>
      <c r="B72" s="4" t="s">
        <v>30</v>
      </c>
      <c r="C72" s="4">
        <f t="shared" si="1"/>
        <v>130</v>
      </c>
      <c r="D72" s="13">
        <v>49.97</v>
      </c>
      <c r="E72" s="13">
        <v>12.34</v>
      </c>
      <c r="F72" s="13">
        <v>8.075</v>
      </c>
      <c r="G72" s="13">
        <v>2591.0</v>
      </c>
      <c r="H72" s="13">
        <v>2352.0</v>
      </c>
      <c r="I72" s="13">
        <v>1.0</v>
      </c>
      <c r="J72" s="14">
        <v>0.0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6"/>
      <c r="B73" s="7" t="s">
        <v>31</v>
      </c>
      <c r="C73" s="7">
        <f t="shared" si="1"/>
        <v>131</v>
      </c>
      <c r="D73" s="15">
        <v>49.97</v>
      </c>
      <c r="E73" s="15">
        <v>12.34</v>
      </c>
      <c r="F73" s="15">
        <v>1.211</v>
      </c>
      <c r="G73" s="15">
        <v>373.4</v>
      </c>
      <c r="H73" s="15">
        <v>271.1</v>
      </c>
      <c r="I73" s="15">
        <v>0.06891</v>
      </c>
      <c r="J73" s="16">
        <v>0.0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6"/>
      <c r="B74" s="7" t="s">
        <v>32</v>
      </c>
      <c r="C74" s="7">
        <f t="shared" si="1"/>
        <v>132</v>
      </c>
      <c r="D74" s="15">
        <v>49.97</v>
      </c>
      <c r="E74" s="15">
        <v>12.34</v>
      </c>
      <c r="F74" s="15">
        <v>0.7035</v>
      </c>
      <c r="G74" s="15">
        <v>209.2</v>
      </c>
      <c r="H74" s="15">
        <v>117.1</v>
      </c>
      <c r="I74" s="15">
        <v>0.0</v>
      </c>
      <c r="J74" s="16">
        <v>0.0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6"/>
      <c r="B75" s="7" t="s">
        <v>33</v>
      </c>
      <c r="C75" s="7">
        <f t="shared" si="1"/>
        <v>133</v>
      </c>
      <c r="D75" s="15">
        <v>20.0</v>
      </c>
      <c r="E75" s="15">
        <v>101.3</v>
      </c>
      <c r="F75" s="15">
        <v>0.2965</v>
      </c>
      <c r="G75" s="15">
        <v>84.01</v>
      </c>
      <c r="H75" s="15">
        <v>0.0</v>
      </c>
      <c r="J75" s="17">
        <v>35.0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6"/>
      <c r="B76" s="7" t="s">
        <v>27</v>
      </c>
      <c r="C76" s="7">
        <f t="shared" si="1"/>
        <v>134</v>
      </c>
      <c r="D76" s="15">
        <v>44.97</v>
      </c>
      <c r="E76" s="15">
        <v>101.3</v>
      </c>
      <c r="F76" s="15">
        <v>0.6382</v>
      </c>
      <c r="G76" s="15">
        <v>188.4</v>
      </c>
      <c r="H76" s="15">
        <v>97.56</v>
      </c>
      <c r="J76" s="17">
        <v>35.0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6"/>
      <c r="B77" s="7" t="s">
        <v>28</v>
      </c>
      <c r="C77" s="7">
        <f t="shared" si="1"/>
        <v>135</v>
      </c>
      <c r="D77" s="15">
        <v>44.97</v>
      </c>
      <c r="E77" s="15">
        <v>9.583</v>
      </c>
      <c r="F77" s="15">
        <v>8.164</v>
      </c>
      <c r="G77" s="15">
        <v>2582.0</v>
      </c>
      <c r="H77" s="15">
        <v>2341.0</v>
      </c>
      <c r="I77" s="15">
        <v>1.0</v>
      </c>
      <c r="J77" s="17">
        <v>0.0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9"/>
      <c r="B78" s="10" t="s">
        <v>29</v>
      </c>
      <c r="C78" s="10">
        <f t="shared" si="1"/>
        <v>136</v>
      </c>
      <c r="D78" s="18">
        <v>46.39</v>
      </c>
      <c r="E78" s="18">
        <v>9.583</v>
      </c>
      <c r="F78" s="18">
        <v>0.6568</v>
      </c>
      <c r="G78" s="18">
        <v>194.2</v>
      </c>
      <c r="H78" s="18">
        <v>103.0</v>
      </c>
      <c r="I78" s="18">
        <v>0.0</v>
      </c>
      <c r="J78" s="19">
        <v>85.0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3" t="s">
        <v>43</v>
      </c>
      <c r="B79" s="4" t="s">
        <v>30</v>
      </c>
      <c r="C79" s="4">
        <f t="shared" si="1"/>
        <v>140</v>
      </c>
      <c r="D79" s="13">
        <v>44.97</v>
      </c>
      <c r="E79" s="13">
        <v>9.583</v>
      </c>
      <c r="F79" s="13">
        <v>8.164</v>
      </c>
      <c r="G79" s="13">
        <v>2582.0</v>
      </c>
      <c r="H79" s="13">
        <v>2341.0</v>
      </c>
      <c r="I79" s="13">
        <v>1.0</v>
      </c>
      <c r="J79" s="14">
        <v>0.0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6"/>
      <c r="B80" s="7" t="s">
        <v>31</v>
      </c>
      <c r="C80" s="7">
        <f t="shared" si="1"/>
        <v>141</v>
      </c>
      <c r="D80" s="15">
        <v>44.97</v>
      </c>
      <c r="E80" s="15">
        <v>9.583</v>
      </c>
      <c r="F80" s="15">
        <v>1.057</v>
      </c>
      <c r="G80" s="15">
        <v>321.5</v>
      </c>
      <c r="H80" s="15">
        <v>222.3</v>
      </c>
      <c r="I80" s="15">
        <v>0.05562</v>
      </c>
      <c r="J80" s="16">
        <v>0.0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6"/>
      <c r="B81" s="7" t="s">
        <v>32</v>
      </c>
      <c r="C81" s="7">
        <f t="shared" si="1"/>
        <v>142</v>
      </c>
      <c r="D81" s="15">
        <v>44.97</v>
      </c>
      <c r="E81" s="15">
        <v>9.583</v>
      </c>
      <c r="F81" s="15">
        <v>0.6383</v>
      </c>
      <c r="G81" s="15">
        <v>188.3</v>
      </c>
      <c r="H81" s="15">
        <v>97.49</v>
      </c>
      <c r="I81" s="15">
        <v>0.0</v>
      </c>
      <c r="J81" s="16">
        <v>0.0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6"/>
      <c r="B82" s="7" t="s">
        <v>33</v>
      </c>
      <c r="C82" s="7">
        <f t="shared" si="1"/>
        <v>143</v>
      </c>
      <c r="D82" s="15">
        <v>20.0</v>
      </c>
      <c r="E82" s="15">
        <v>101.3</v>
      </c>
      <c r="F82" s="15">
        <v>0.2965</v>
      </c>
      <c r="G82" s="15">
        <v>84.01</v>
      </c>
      <c r="H82" s="15">
        <v>0.0</v>
      </c>
      <c r="J82" s="17">
        <v>35.0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6"/>
      <c r="B83" s="7" t="s">
        <v>27</v>
      </c>
      <c r="C83" s="7">
        <f t="shared" si="1"/>
        <v>144</v>
      </c>
      <c r="D83" s="15">
        <v>39.97</v>
      </c>
      <c r="E83" s="15">
        <v>101.3</v>
      </c>
      <c r="F83" s="15">
        <v>0.572</v>
      </c>
      <c r="G83" s="15">
        <v>167.5</v>
      </c>
      <c r="H83" s="15">
        <v>77.99</v>
      </c>
      <c r="J83" s="17">
        <v>35.0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6"/>
      <c r="B84" s="7" t="s">
        <v>28</v>
      </c>
      <c r="C84" s="7">
        <f t="shared" si="1"/>
        <v>145</v>
      </c>
      <c r="D84" s="15">
        <v>39.97</v>
      </c>
      <c r="E84" s="15">
        <v>7.375</v>
      </c>
      <c r="F84" s="15">
        <v>8.256</v>
      </c>
      <c r="G84" s="15">
        <v>2573.0</v>
      </c>
      <c r="H84" s="15">
        <v>2330.0</v>
      </c>
      <c r="I84" s="15">
        <v>1.0</v>
      </c>
      <c r="J84" s="17">
        <v>0.0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9"/>
      <c r="B85" s="10" t="s">
        <v>29</v>
      </c>
      <c r="C85" s="10">
        <f t="shared" si="1"/>
        <v>146</v>
      </c>
      <c r="D85" s="18">
        <v>41.39</v>
      </c>
      <c r="E85" s="18">
        <v>7.375</v>
      </c>
      <c r="F85" s="18">
        <v>0.5909</v>
      </c>
      <c r="G85" s="18">
        <v>173.3</v>
      </c>
      <c r="H85" s="18">
        <v>83.45</v>
      </c>
      <c r="I85" s="18">
        <v>0.0</v>
      </c>
      <c r="J85" s="19">
        <v>85.0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3" t="s">
        <v>44</v>
      </c>
      <c r="B86" s="4" t="s">
        <v>30</v>
      </c>
      <c r="C86" s="4">
        <f t="shared" si="1"/>
        <v>150</v>
      </c>
      <c r="D86" s="13">
        <v>39.97</v>
      </c>
      <c r="E86" s="13">
        <v>7.375</v>
      </c>
      <c r="F86" s="13">
        <v>8.256</v>
      </c>
      <c r="G86" s="13">
        <v>2573.0</v>
      </c>
      <c r="H86" s="13">
        <v>2330.0</v>
      </c>
      <c r="I86" s="13">
        <v>1.0</v>
      </c>
      <c r="J86" s="14">
        <v>0.0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6"/>
      <c r="B87" s="7" t="s">
        <v>31</v>
      </c>
      <c r="C87" s="7">
        <f t="shared" si="1"/>
        <v>151</v>
      </c>
      <c r="D87" s="15">
        <v>39.97</v>
      </c>
      <c r="E87" s="15">
        <v>7.375</v>
      </c>
      <c r="F87" s="15">
        <v>0.8955</v>
      </c>
      <c r="G87" s="15">
        <v>268.7</v>
      </c>
      <c r="H87" s="15">
        <v>172.7</v>
      </c>
      <c r="I87" s="15">
        <v>0.04209</v>
      </c>
      <c r="J87" s="16">
        <v>0.0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6"/>
      <c r="B88" s="7" t="s">
        <v>32</v>
      </c>
      <c r="C88" s="7">
        <f t="shared" si="1"/>
        <v>152</v>
      </c>
      <c r="D88" s="15">
        <v>39.97</v>
      </c>
      <c r="E88" s="15">
        <v>7.375</v>
      </c>
      <c r="F88" s="15">
        <v>0.5721</v>
      </c>
      <c r="G88" s="15">
        <v>167.4</v>
      </c>
      <c r="H88" s="15">
        <v>77.91</v>
      </c>
      <c r="I88" s="15">
        <v>0.0</v>
      </c>
      <c r="J88" s="16">
        <v>0.0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6"/>
      <c r="B89" s="7" t="s">
        <v>33</v>
      </c>
      <c r="C89" s="7">
        <f t="shared" si="1"/>
        <v>153</v>
      </c>
      <c r="D89" s="15">
        <v>20.0</v>
      </c>
      <c r="E89" s="15">
        <v>101.3</v>
      </c>
      <c r="F89" s="15">
        <v>0.2965</v>
      </c>
      <c r="G89" s="15">
        <v>84.01</v>
      </c>
      <c r="H89" s="15">
        <v>0.0</v>
      </c>
      <c r="J89" s="17">
        <v>35.0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6"/>
      <c r="B90" s="7" t="s">
        <v>27</v>
      </c>
      <c r="C90" s="7">
        <f t="shared" si="1"/>
        <v>154</v>
      </c>
      <c r="D90" s="15">
        <v>34.97</v>
      </c>
      <c r="E90" s="15">
        <v>101.3</v>
      </c>
      <c r="F90" s="15">
        <v>0.5047</v>
      </c>
      <c r="G90" s="15">
        <v>146.6</v>
      </c>
      <c r="H90" s="15">
        <v>58.44</v>
      </c>
      <c r="J90" s="17">
        <v>35.0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6"/>
      <c r="B91" s="7" t="s">
        <v>28</v>
      </c>
      <c r="C91" s="7">
        <f t="shared" si="1"/>
        <v>155</v>
      </c>
      <c r="D91" s="15">
        <v>34.97</v>
      </c>
      <c r="E91" s="15">
        <v>5.621</v>
      </c>
      <c r="F91" s="15">
        <v>8.352</v>
      </c>
      <c r="G91" s="15">
        <v>2565.0</v>
      </c>
      <c r="H91" s="15">
        <v>2319.0</v>
      </c>
      <c r="I91" s="15">
        <v>1.0</v>
      </c>
      <c r="J91" s="17">
        <v>0.0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9"/>
      <c r="B92" s="10" t="s">
        <v>29</v>
      </c>
      <c r="C92" s="10">
        <f t="shared" si="1"/>
        <v>156</v>
      </c>
      <c r="D92" s="18">
        <v>36.39</v>
      </c>
      <c r="E92" s="18">
        <v>5.621</v>
      </c>
      <c r="F92" s="18">
        <v>0.5239</v>
      </c>
      <c r="G92" s="18">
        <v>152.4</v>
      </c>
      <c r="H92" s="18">
        <v>63.88</v>
      </c>
      <c r="I92" s="18">
        <v>0.0</v>
      </c>
      <c r="J92" s="19">
        <v>85.0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3" t="s">
        <v>45</v>
      </c>
      <c r="B93" s="4" t="s">
        <v>30</v>
      </c>
      <c r="C93" s="4">
        <f t="shared" si="1"/>
        <v>160</v>
      </c>
      <c r="D93" s="13">
        <v>34.97</v>
      </c>
      <c r="E93" s="13">
        <v>5.621</v>
      </c>
      <c r="F93" s="13">
        <v>8.352</v>
      </c>
      <c r="G93" s="13">
        <v>2565.0</v>
      </c>
      <c r="H93" s="13">
        <v>2319.0</v>
      </c>
      <c r="I93" s="13">
        <v>1.0</v>
      </c>
      <c r="J93" s="14">
        <v>0.0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6"/>
      <c r="B94" s="7" t="s">
        <v>31</v>
      </c>
      <c r="C94" s="7">
        <f t="shared" si="1"/>
        <v>161</v>
      </c>
      <c r="D94" s="15">
        <v>34.97</v>
      </c>
      <c r="E94" s="15">
        <v>5.621</v>
      </c>
      <c r="F94" s="15">
        <v>0.7269</v>
      </c>
      <c r="G94" s="15">
        <v>215.0</v>
      </c>
      <c r="H94" s="15">
        <v>122.4</v>
      </c>
      <c r="I94" s="15">
        <v>0.02831</v>
      </c>
      <c r="J94" s="16">
        <v>0.0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6"/>
      <c r="B95" s="7" t="s">
        <v>32</v>
      </c>
      <c r="C95" s="7">
        <f t="shared" si="1"/>
        <v>162</v>
      </c>
      <c r="D95" s="15">
        <v>34.97</v>
      </c>
      <c r="E95" s="15">
        <v>5.621</v>
      </c>
      <c r="F95" s="15">
        <v>0.5048</v>
      </c>
      <c r="G95" s="15">
        <v>146.5</v>
      </c>
      <c r="H95" s="15">
        <v>58.35</v>
      </c>
      <c r="I95" s="15">
        <v>0.0</v>
      </c>
      <c r="J95" s="16">
        <v>0.0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6"/>
      <c r="B96" s="7" t="s">
        <v>33</v>
      </c>
      <c r="C96" s="7">
        <f t="shared" si="1"/>
        <v>163</v>
      </c>
      <c r="D96" s="15">
        <v>20.0</v>
      </c>
      <c r="E96" s="15">
        <v>101.3</v>
      </c>
      <c r="F96" s="15">
        <v>0.2965</v>
      </c>
      <c r="G96" s="15">
        <v>84.01</v>
      </c>
      <c r="H96" s="15">
        <v>0.0</v>
      </c>
      <c r="J96" s="17">
        <v>35.0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6"/>
      <c r="B97" s="7" t="s">
        <v>27</v>
      </c>
      <c r="C97" s="7">
        <f t="shared" si="1"/>
        <v>164</v>
      </c>
      <c r="D97" s="15">
        <v>29.97</v>
      </c>
      <c r="E97" s="15">
        <v>101.3</v>
      </c>
      <c r="F97" s="15">
        <v>0.4364</v>
      </c>
      <c r="G97" s="15">
        <v>125.7</v>
      </c>
      <c r="H97" s="15">
        <v>38.91</v>
      </c>
      <c r="J97" s="17">
        <v>35.0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6"/>
      <c r="B98" s="7" t="s">
        <v>28</v>
      </c>
      <c r="C98" s="7">
        <f t="shared" si="1"/>
        <v>165</v>
      </c>
      <c r="D98" s="15">
        <v>29.97</v>
      </c>
      <c r="E98" s="15">
        <v>4.241</v>
      </c>
      <c r="F98" s="15">
        <v>8.453</v>
      </c>
      <c r="G98" s="15">
        <v>2555.0</v>
      </c>
      <c r="H98" s="15">
        <v>2308.0</v>
      </c>
      <c r="I98" s="15">
        <v>1.0</v>
      </c>
      <c r="J98" s="17">
        <v>0.0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9"/>
      <c r="B99" s="10" t="s">
        <v>29</v>
      </c>
      <c r="C99" s="10">
        <f t="shared" si="1"/>
        <v>166</v>
      </c>
      <c r="D99" s="18">
        <v>31.39</v>
      </c>
      <c r="E99" s="18">
        <v>4.241</v>
      </c>
      <c r="F99" s="18">
        <v>0.4559</v>
      </c>
      <c r="G99" s="18">
        <v>131.5</v>
      </c>
      <c r="H99" s="18">
        <v>44.35</v>
      </c>
      <c r="I99" s="18">
        <v>0.0</v>
      </c>
      <c r="J99" s="19">
        <v>85.0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3" t="s">
        <v>46</v>
      </c>
      <c r="B100" s="4" t="s">
        <v>30</v>
      </c>
      <c r="C100" s="4">
        <f t="shared" si="1"/>
        <v>170</v>
      </c>
      <c r="D100" s="13">
        <v>29.97</v>
      </c>
      <c r="E100" s="13">
        <v>4.241</v>
      </c>
      <c r="F100" s="13">
        <v>8.453</v>
      </c>
      <c r="G100" s="13">
        <v>2555.0</v>
      </c>
      <c r="H100" s="13">
        <v>2308.0</v>
      </c>
      <c r="I100" s="13">
        <v>1.0</v>
      </c>
      <c r="J100" s="14">
        <v>0.0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6"/>
      <c r="B101" s="7" t="s">
        <v>31</v>
      </c>
      <c r="C101" s="7">
        <f t="shared" si="1"/>
        <v>171</v>
      </c>
      <c r="D101" s="15">
        <v>29.97</v>
      </c>
      <c r="E101" s="15">
        <v>4.241</v>
      </c>
      <c r="F101" s="15">
        <v>0.5507</v>
      </c>
      <c r="G101" s="15">
        <v>160.3</v>
      </c>
      <c r="H101" s="15">
        <v>71.17</v>
      </c>
      <c r="I101" s="15">
        <v>0.01426</v>
      </c>
      <c r="J101" s="16">
        <v>0.0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6"/>
      <c r="B102" s="7" t="s">
        <v>32</v>
      </c>
      <c r="C102" s="7">
        <f t="shared" si="1"/>
        <v>172</v>
      </c>
      <c r="D102" s="15">
        <v>29.97</v>
      </c>
      <c r="E102" s="15">
        <v>4.241</v>
      </c>
      <c r="F102" s="15">
        <v>0.4364</v>
      </c>
      <c r="G102" s="15">
        <v>125.6</v>
      </c>
      <c r="H102" s="15">
        <v>38.82</v>
      </c>
      <c r="I102" s="15">
        <v>0.0</v>
      </c>
      <c r="J102" s="16">
        <v>0.0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6"/>
      <c r="B103" s="7" t="s">
        <v>33</v>
      </c>
      <c r="C103" s="7">
        <f t="shared" si="1"/>
        <v>173</v>
      </c>
      <c r="D103" s="15">
        <v>20.0</v>
      </c>
      <c r="E103" s="15">
        <v>101.3</v>
      </c>
      <c r="F103" s="15">
        <v>0.2965</v>
      </c>
      <c r="G103" s="15">
        <v>84.01</v>
      </c>
      <c r="H103" s="15">
        <v>0.0</v>
      </c>
      <c r="J103" s="17">
        <v>35.0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6"/>
      <c r="B104" s="7" t="s">
        <v>27</v>
      </c>
      <c r="C104" s="7">
        <f t="shared" si="1"/>
        <v>174</v>
      </c>
      <c r="D104" s="15">
        <v>24.97</v>
      </c>
      <c r="E104" s="15">
        <v>101.3</v>
      </c>
      <c r="F104" s="15">
        <v>0.3668</v>
      </c>
      <c r="G104" s="15">
        <v>104.8</v>
      </c>
      <c r="H104" s="15">
        <v>19.4</v>
      </c>
      <c r="J104" s="17">
        <v>35.0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6"/>
      <c r="B105" s="7" t="s">
        <v>28</v>
      </c>
      <c r="C105" s="7">
        <f t="shared" si="1"/>
        <v>175</v>
      </c>
      <c r="D105" s="15">
        <v>24.97</v>
      </c>
      <c r="E105" s="15">
        <v>3.165</v>
      </c>
      <c r="F105" s="15">
        <v>8.557</v>
      </c>
      <c r="G105" s="15">
        <v>2546.0</v>
      </c>
      <c r="H105" s="15">
        <v>2297.0</v>
      </c>
      <c r="I105" s="15">
        <v>1.0</v>
      </c>
      <c r="J105" s="17">
        <v>0.0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9"/>
      <c r="B106" s="10" t="s">
        <v>29</v>
      </c>
      <c r="C106" s="10">
        <f t="shared" si="1"/>
        <v>176</v>
      </c>
      <c r="D106" s="18">
        <v>26.39</v>
      </c>
      <c r="E106" s="18">
        <v>3.165</v>
      </c>
      <c r="F106" s="18">
        <v>0.3867</v>
      </c>
      <c r="G106" s="18">
        <v>110.6</v>
      </c>
      <c r="H106" s="18">
        <v>24.83</v>
      </c>
      <c r="I106" s="18">
        <v>0.0</v>
      </c>
      <c r="J106" s="19">
        <v>85.0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3" t="s">
        <v>47</v>
      </c>
      <c r="B107" s="4" t="s">
        <v>48</v>
      </c>
      <c r="C107" s="4">
        <v>180.0</v>
      </c>
      <c r="D107" s="13">
        <v>24.97</v>
      </c>
      <c r="E107" s="13">
        <v>3.165</v>
      </c>
      <c r="F107" s="13">
        <v>8.557</v>
      </c>
      <c r="G107" s="13">
        <v>2546.0</v>
      </c>
      <c r="H107" s="13">
        <v>2297.0</v>
      </c>
      <c r="I107" s="13">
        <v>1.0</v>
      </c>
      <c r="J107" s="20">
        <v>0.0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6"/>
      <c r="B108" s="7" t="s">
        <v>49</v>
      </c>
      <c r="C108" s="7">
        <v>181.0</v>
      </c>
      <c r="D108" s="15">
        <v>24.97</v>
      </c>
      <c r="E108" s="15">
        <v>3.165</v>
      </c>
      <c r="F108" s="15">
        <v>0.3669</v>
      </c>
      <c r="G108" s="15">
        <v>104.7</v>
      </c>
      <c r="H108" s="15">
        <v>19.31</v>
      </c>
      <c r="I108" s="15">
        <v>0.0</v>
      </c>
      <c r="J108" s="17">
        <v>0.0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6"/>
      <c r="B109" s="7" t="s">
        <v>50</v>
      </c>
      <c r="C109" s="7">
        <v>182.0</v>
      </c>
      <c r="D109" s="15">
        <v>20.0</v>
      </c>
      <c r="E109" s="15">
        <v>101.3</v>
      </c>
      <c r="F109" s="15">
        <v>0.2965</v>
      </c>
      <c r="G109" s="15">
        <v>84.01</v>
      </c>
      <c r="H109" s="15">
        <v>0.0</v>
      </c>
      <c r="J109" s="17">
        <v>35.0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9"/>
      <c r="B110" s="10" t="s">
        <v>51</v>
      </c>
      <c r="C110" s="10">
        <v>183.0</v>
      </c>
      <c r="D110" s="18">
        <v>21.97</v>
      </c>
      <c r="E110" s="18">
        <v>101.3</v>
      </c>
      <c r="F110" s="18">
        <v>0.3245</v>
      </c>
      <c r="G110" s="18">
        <v>92.27</v>
      </c>
      <c r="H110" s="18">
        <v>7.698</v>
      </c>
      <c r="I110" s="21"/>
      <c r="J110" s="19">
        <v>35.0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</sheetData>
  <mergeCells count="16">
    <mergeCell ref="A2:A8"/>
    <mergeCell ref="A9:A15"/>
    <mergeCell ref="A16:A22"/>
    <mergeCell ref="A23:A29"/>
    <mergeCell ref="A30:A36"/>
    <mergeCell ref="A37:A43"/>
    <mergeCell ref="A44:A50"/>
    <mergeCell ref="A100:A106"/>
    <mergeCell ref="A107:A110"/>
    <mergeCell ref="A51:A57"/>
    <mergeCell ref="A58:A64"/>
    <mergeCell ref="A65:A71"/>
    <mergeCell ref="A72:A78"/>
    <mergeCell ref="A79:A85"/>
    <mergeCell ref="A86:A92"/>
    <mergeCell ref="A93:A99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</cols>
  <sheetData>
    <row r="1">
      <c r="A1" s="22" t="s">
        <v>0</v>
      </c>
      <c r="B1" s="22" t="s">
        <v>3</v>
      </c>
      <c r="C1" s="22" t="s">
        <v>4</v>
      </c>
      <c r="D1" s="22" t="s">
        <v>52</v>
      </c>
      <c r="E1" s="22" t="s">
        <v>53</v>
      </c>
      <c r="F1" s="22" t="s">
        <v>54</v>
      </c>
      <c r="G1" s="23" t="s">
        <v>55</v>
      </c>
      <c r="H1" s="24" t="s">
        <v>56</v>
      </c>
      <c r="I1" s="23" t="s">
        <v>57</v>
      </c>
      <c r="J1" s="23" t="s">
        <v>58</v>
      </c>
      <c r="K1" s="23" t="s">
        <v>59</v>
      </c>
      <c r="L1" s="23" t="s">
        <v>60</v>
      </c>
      <c r="M1" s="23" t="s">
        <v>61</v>
      </c>
      <c r="N1" s="23" t="s">
        <v>62</v>
      </c>
      <c r="O1" s="23" t="s">
        <v>63</v>
      </c>
      <c r="P1" s="23" t="s">
        <v>64</v>
      </c>
      <c r="Q1" s="23" t="s">
        <v>65</v>
      </c>
      <c r="R1" s="23" t="s">
        <v>66</v>
      </c>
    </row>
    <row r="2">
      <c r="A2" s="25" t="s">
        <v>22</v>
      </c>
      <c r="B2" s="26">
        <v>94.97</v>
      </c>
      <c r="C2" s="27">
        <v>84.53</v>
      </c>
      <c r="D2" s="15">
        <v>1582.0</v>
      </c>
      <c r="E2" s="15">
        <v>1108.0</v>
      </c>
      <c r="F2" s="27">
        <f t="shared" ref="F2:F16" si="1">D2+E2</f>
        <v>2690</v>
      </c>
      <c r="G2" s="26">
        <f t="shared" ref="G2:G17" si="2">SUM(H2,I2,J2)</f>
        <v>341512</v>
      </c>
      <c r="H2" s="26">
        <v>8652.0</v>
      </c>
      <c r="I2" s="28">
        <v>332860.0</v>
      </c>
      <c r="K2" s="29">
        <f t="shared" ref="K2:K17" si="3">SUM(L2,M2,N2)</f>
        <v>303.6315193</v>
      </c>
      <c r="L2" s="30">
        <f t="shared" ref="L2:L16" si="4">H2/F2</f>
        <v>3.216356877</v>
      </c>
      <c r="M2" s="28">
        <f t="shared" ref="M2:M16" si="5">I2/E2</f>
        <v>300.4151625</v>
      </c>
      <c r="O2" s="31">
        <f t="shared" ref="O2:O17" si="6">(G2/$G$20)*100</f>
        <v>15.4306126</v>
      </c>
      <c r="P2" s="31">
        <f t="shared" ref="P2:P16" si="7">(H2/$H$20)*100</f>
        <v>20.72042514</v>
      </c>
      <c r="Q2" s="31">
        <f t="shared" ref="Q2:Q16" si="8">(I2/$I$20)*100</f>
        <v>23.23728969</v>
      </c>
    </row>
    <row r="3">
      <c r="A3" s="25" t="s">
        <v>67</v>
      </c>
      <c r="B3" s="26">
        <v>89.97</v>
      </c>
      <c r="C3" s="27">
        <v>70.11</v>
      </c>
      <c r="D3" s="15">
        <v>1290.0</v>
      </c>
      <c r="E3" s="15">
        <v>902.7</v>
      </c>
      <c r="F3" s="27">
        <f t="shared" si="1"/>
        <v>2192.7</v>
      </c>
      <c r="G3" s="26">
        <f t="shared" si="2"/>
        <v>259923</v>
      </c>
      <c r="H3" s="26">
        <v>6606.0</v>
      </c>
      <c r="I3" s="28">
        <v>253317.0</v>
      </c>
      <c r="K3" s="29">
        <f t="shared" si="3"/>
        <v>283.634193</v>
      </c>
      <c r="L3" s="30">
        <f t="shared" si="4"/>
        <v>3.012724039</v>
      </c>
      <c r="M3" s="28">
        <f t="shared" si="5"/>
        <v>280.6214689</v>
      </c>
      <c r="O3" s="31">
        <f t="shared" si="6"/>
        <v>11.74415868</v>
      </c>
      <c r="P3" s="31">
        <f t="shared" si="7"/>
        <v>15.82051878</v>
      </c>
      <c r="Q3" s="31">
        <f t="shared" si="8"/>
        <v>17.68431326</v>
      </c>
    </row>
    <row r="4">
      <c r="A4" s="25" t="s">
        <v>34</v>
      </c>
      <c r="B4" s="26">
        <v>84.97</v>
      </c>
      <c r="C4" s="27">
        <v>57.81</v>
      </c>
      <c r="D4" s="15">
        <v>1066.0</v>
      </c>
      <c r="E4" s="15">
        <v>746.0</v>
      </c>
      <c r="F4" s="27">
        <f t="shared" si="1"/>
        <v>1812</v>
      </c>
      <c r="G4" s="26">
        <f t="shared" si="2"/>
        <v>199649</v>
      </c>
      <c r="H4" s="26">
        <v>5111.0</v>
      </c>
      <c r="I4" s="28">
        <v>194538.0</v>
      </c>
      <c r="K4" s="29">
        <f t="shared" si="3"/>
        <v>263.5954391</v>
      </c>
      <c r="L4" s="30">
        <f t="shared" si="4"/>
        <v>2.820640177</v>
      </c>
      <c r="M4" s="28">
        <f t="shared" si="5"/>
        <v>260.7747989</v>
      </c>
      <c r="O4" s="31">
        <f t="shared" si="6"/>
        <v>9.020785141</v>
      </c>
      <c r="P4" s="31">
        <f t="shared" si="7"/>
        <v>12.24018642</v>
      </c>
      <c r="Q4" s="31">
        <f t="shared" si="8"/>
        <v>13.58089245</v>
      </c>
    </row>
    <row r="5">
      <c r="A5" s="25" t="s">
        <v>35</v>
      </c>
      <c r="B5" s="26">
        <v>79.97</v>
      </c>
      <c r="C5" s="27">
        <v>47.37</v>
      </c>
      <c r="D5" s="15">
        <v>893.2</v>
      </c>
      <c r="E5" s="15">
        <v>625.3</v>
      </c>
      <c r="F5" s="27">
        <f t="shared" si="1"/>
        <v>1518.5</v>
      </c>
      <c r="G5" s="26">
        <f t="shared" si="2"/>
        <v>154653</v>
      </c>
      <c r="H5" s="26">
        <v>4008.0</v>
      </c>
      <c r="I5" s="28">
        <v>150645.0</v>
      </c>
      <c r="K5" s="29">
        <f t="shared" si="3"/>
        <v>243.555807</v>
      </c>
      <c r="L5" s="30">
        <f t="shared" si="4"/>
        <v>2.639446823</v>
      </c>
      <c r="M5" s="28">
        <f t="shared" si="5"/>
        <v>240.9163601</v>
      </c>
      <c r="O5" s="31">
        <f t="shared" si="6"/>
        <v>6.987720872</v>
      </c>
      <c r="P5" s="31">
        <f t="shared" si="7"/>
        <v>9.598643545</v>
      </c>
      <c r="Q5" s="31">
        <f t="shared" si="8"/>
        <v>10.5166782</v>
      </c>
    </row>
    <row r="6">
      <c r="A6" s="25" t="s">
        <v>36</v>
      </c>
      <c r="B6" s="26">
        <v>74.97</v>
      </c>
      <c r="C6" s="27">
        <v>38.56</v>
      </c>
      <c r="D6" s="15">
        <v>759.2</v>
      </c>
      <c r="E6" s="15">
        <v>531.4</v>
      </c>
      <c r="F6" s="27">
        <f t="shared" si="1"/>
        <v>1290.6</v>
      </c>
      <c r="G6" s="26">
        <f t="shared" si="2"/>
        <v>120703</v>
      </c>
      <c r="H6" s="26">
        <v>3188.0</v>
      </c>
      <c r="I6" s="28">
        <v>117515.0</v>
      </c>
      <c r="K6" s="29">
        <f t="shared" si="3"/>
        <v>223.6124346</v>
      </c>
      <c r="L6" s="30">
        <f t="shared" si="4"/>
        <v>2.470168914</v>
      </c>
      <c r="M6" s="28">
        <f t="shared" si="5"/>
        <v>221.1422657</v>
      </c>
      <c r="O6" s="31">
        <f t="shared" si="6"/>
        <v>5.453750476</v>
      </c>
      <c r="P6" s="31">
        <f t="shared" si="7"/>
        <v>7.634849207</v>
      </c>
      <c r="Q6" s="31">
        <f t="shared" si="8"/>
        <v>8.203839745</v>
      </c>
    </row>
    <row r="7">
      <c r="A7" s="25" t="s">
        <v>37</v>
      </c>
      <c r="B7" s="26">
        <v>69.97</v>
      </c>
      <c r="C7" s="27">
        <v>31.17</v>
      </c>
      <c r="D7" s="15">
        <v>654.3</v>
      </c>
      <c r="E7" s="15">
        <v>458.0</v>
      </c>
      <c r="F7" s="27">
        <f t="shared" si="1"/>
        <v>1112.3</v>
      </c>
      <c r="G7" s="26">
        <f t="shared" si="2"/>
        <v>94808</v>
      </c>
      <c r="H7" s="26">
        <v>2573.0</v>
      </c>
      <c r="I7" s="28">
        <v>92235.0</v>
      </c>
      <c r="K7" s="29">
        <f t="shared" si="3"/>
        <v>203.6996877</v>
      </c>
      <c r="L7" s="30">
        <f t="shared" si="4"/>
        <v>2.313224849</v>
      </c>
      <c r="M7" s="28">
        <f t="shared" si="5"/>
        <v>201.3864629</v>
      </c>
      <c r="O7" s="31">
        <f t="shared" si="6"/>
        <v>4.283730936</v>
      </c>
      <c r="P7" s="31">
        <f t="shared" si="7"/>
        <v>6.162003453</v>
      </c>
      <c r="Q7" s="31">
        <f t="shared" si="8"/>
        <v>6.439017648</v>
      </c>
    </row>
    <row r="8">
      <c r="A8" s="25" t="s">
        <v>38</v>
      </c>
      <c r="B8" s="26">
        <v>64.97</v>
      </c>
      <c r="C8" s="27">
        <v>25.01</v>
      </c>
      <c r="D8" s="15">
        <v>571.9</v>
      </c>
      <c r="E8" s="15">
        <v>400.4</v>
      </c>
      <c r="F8" s="27">
        <f t="shared" si="1"/>
        <v>972.3</v>
      </c>
      <c r="G8" s="26">
        <f t="shared" si="2"/>
        <v>74832</v>
      </c>
      <c r="H8" s="26">
        <v>2110.0</v>
      </c>
      <c r="I8" s="28">
        <v>72722.0</v>
      </c>
      <c r="K8" s="29">
        <f t="shared" si="3"/>
        <v>183.7934887</v>
      </c>
      <c r="L8" s="30">
        <f t="shared" si="4"/>
        <v>2.170112105</v>
      </c>
      <c r="M8" s="28">
        <f t="shared" si="5"/>
        <v>181.6233766</v>
      </c>
      <c r="O8" s="31">
        <f t="shared" si="6"/>
        <v>3.381150888</v>
      </c>
      <c r="P8" s="31">
        <f t="shared" si="7"/>
        <v>5.053178114</v>
      </c>
      <c r="Q8" s="31">
        <f t="shared" si="8"/>
        <v>5.076795591</v>
      </c>
    </row>
    <row r="9">
      <c r="A9" s="25" t="s">
        <v>39</v>
      </c>
      <c r="B9" s="26">
        <v>59.97</v>
      </c>
      <c r="C9" s="27">
        <v>19.92</v>
      </c>
      <c r="D9" s="15">
        <v>507.0</v>
      </c>
      <c r="E9" s="15">
        <v>354.9</v>
      </c>
      <c r="F9" s="27">
        <f t="shared" si="1"/>
        <v>861.9</v>
      </c>
      <c r="G9" s="26">
        <f t="shared" si="2"/>
        <v>59234</v>
      </c>
      <c r="H9" s="26">
        <v>1759.0</v>
      </c>
      <c r="I9" s="28">
        <v>57475.0</v>
      </c>
      <c r="K9" s="29">
        <f t="shared" si="3"/>
        <v>163.9878673</v>
      </c>
      <c r="L9" s="30">
        <f t="shared" si="4"/>
        <v>2.040840005</v>
      </c>
      <c r="M9" s="28">
        <f t="shared" si="5"/>
        <v>161.9470273</v>
      </c>
      <c r="O9" s="31">
        <f t="shared" si="6"/>
        <v>2.676382987</v>
      </c>
      <c r="P9" s="31">
        <f t="shared" si="7"/>
        <v>4.212578342</v>
      </c>
      <c r="Q9" s="31">
        <f t="shared" si="8"/>
        <v>4.012387264</v>
      </c>
    </row>
    <row r="10">
      <c r="A10" s="25" t="s">
        <v>40</v>
      </c>
      <c r="B10" s="26">
        <v>54.97</v>
      </c>
      <c r="C10" s="27">
        <v>15.74</v>
      </c>
      <c r="D10" s="15">
        <v>455.8</v>
      </c>
      <c r="E10" s="15">
        <v>319.1</v>
      </c>
      <c r="F10" s="27">
        <f t="shared" si="1"/>
        <v>774.9</v>
      </c>
      <c r="G10" s="26">
        <f t="shared" si="2"/>
        <v>46891</v>
      </c>
      <c r="H10" s="26">
        <v>1494.0</v>
      </c>
      <c r="I10" s="28">
        <v>45397.0</v>
      </c>
      <c r="K10" s="29">
        <f t="shared" si="3"/>
        <v>144.1937381</v>
      </c>
      <c r="L10" s="30">
        <f t="shared" si="4"/>
        <v>1.927990708</v>
      </c>
      <c r="M10" s="28">
        <f t="shared" si="5"/>
        <v>142.2657474</v>
      </c>
      <c r="O10" s="31">
        <f t="shared" si="6"/>
        <v>2.118686475</v>
      </c>
      <c r="P10" s="31">
        <f t="shared" si="7"/>
        <v>3.577937489</v>
      </c>
      <c r="Q10" s="31">
        <f t="shared" si="8"/>
        <v>3.169209998</v>
      </c>
    </row>
    <row r="11">
      <c r="A11" s="25" t="s">
        <v>41</v>
      </c>
      <c r="B11" s="26">
        <v>49.97</v>
      </c>
      <c r="C11" s="27">
        <v>12.34</v>
      </c>
      <c r="D11" s="15">
        <v>415.6</v>
      </c>
      <c r="E11" s="15">
        <v>290.9</v>
      </c>
      <c r="F11" s="27">
        <f t="shared" si="1"/>
        <v>706.5</v>
      </c>
      <c r="G11" s="26">
        <f t="shared" si="2"/>
        <v>36975</v>
      </c>
      <c r="H11" s="26">
        <v>1294.0</v>
      </c>
      <c r="I11" s="28">
        <v>35681.0</v>
      </c>
      <c r="K11" s="29">
        <f t="shared" si="3"/>
        <v>124.4888346</v>
      </c>
      <c r="L11" s="30">
        <f t="shared" si="4"/>
        <v>1.831564048</v>
      </c>
      <c r="M11" s="28">
        <f t="shared" si="5"/>
        <v>122.6572705</v>
      </c>
      <c r="O11" s="31">
        <f t="shared" si="6"/>
        <v>1.670649643</v>
      </c>
      <c r="P11" s="31">
        <f t="shared" si="7"/>
        <v>3.09896326</v>
      </c>
      <c r="Q11" s="31">
        <f t="shared" si="8"/>
        <v>2.490926315</v>
      </c>
    </row>
    <row r="12">
      <c r="A12" s="25" t="s">
        <v>42</v>
      </c>
      <c r="B12" s="26">
        <v>44.97</v>
      </c>
      <c r="C12" s="27">
        <v>9.583</v>
      </c>
      <c r="D12" s="15">
        <v>384.4</v>
      </c>
      <c r="E12" s="15">
        <v>269.1</v>
      </c>
      <c r="F12" s="27">
        <f t="shared" si="1"/>
        <v>653.5</v>
      </c>
      <c r="G12" s="26">
        <f t="shared" si="2"/>
        <v>28867</v>
      </c>
      <c r="H12" s="26">
        <v>1144.0</v>
      </c>
      <c r="I12" s="28">
        <v>27723.0</v>
      </c>
      <c r="K12" s="29">
        <f t="shared" si="3"/>
        <v>104.7717556</v>
      </c>
      <c r="L12" s="30">
        <f t="shared" si="4"/>
        <v>1.750573833</v>
      </c>
      <c r="M12" s="28">
        <f t="shared" si="5"/>
        <v>103.0211817</v>
      </c>
      <c r="O12" s="31">
        <f t="shared" si="6"/>
        <v>1.304304077</v>
      </c>
      <c r="P12" s="31">
        <f t="shared" si="7"/>
        <v>2.739732589</v>
      </c>
      <c r="Q12" s="31">
        <f t="shared" si="8"/>
        <v>1.935370372</v>
      </c>
    </row>
    <row r="13">
      <c r="A13" s="25" t="s">
        <v>43</v>
      </c>
      <c r="B13" s="26">
        <v>39.97</v>
      </c>
      <c r="C13" s="27">
        <v>7.375</v>
      </c>
      <c r="D13" s="15">
        <v>360.6</v>
      </c>
      <c r="E13" s="15">
        <v>252.4</v>
      </c>
      <c r="F13" s="27">
        <f t="shared" si="1"/>
        <v>613</v>
      </c>
      <c r="G13" s="26">
        <f t="shared" si="2"/>
        <v>22100</v>
      </c>
      <c r="H13" s="26">
        <v>1036.0</v>
      </c>
      <c r="I13" s="28">
        <v>21064.0</v>
      </c>
      <c r="K13" s="32">
        <f t="shared" si="3"/>
        <v>85.14488254</v>
      </c>
      <c r="L13" s="30">
        <f t="shared" si="4"/>
        <v>1.69004894</v>
      </c>
      <c r="M13" s="33">
        <f t="shared" si="5"/>
        <v>83.4548336</v>
      </c>
      <c r="O13" s="31">
        <f t="shared" si="6"/>
        <v>0.9985492119</v>
      </c>
      <c r="P13" s="31">
        <f t="shared" si="7"/>
        <v>2.481086505</v>
      </c>
      <c r="Q13" s="31">
        <f t="shared" si="8"/>
        <v>1.470498918</v>
      </c>
    </row>
    <row r="14">
      <c r="A14" s="25" t="s">
        <v>44</v>
      </c>
      <c r="B14" s="26">
        <v>34.97</v>
      </c>
      <c r="C14" s="27">
        <v>5.621</v>
      </c>
      <c r="D14" s="15">
        <v>343.2</v>
      </c>
      <c r="E14" s="15">
        <v>240.2</v>
      </c>
      <c r="F14" s="27">
        <f t="shared" si="1"/>
        <v>583.4</v>
      </c>
      <c r="G14" s="26">
        <f t="shared" si="2"/>
        <v>16308.3</v>
      </c>
      <c r="H14" s="26">
        <v>962.3</v>
      </c>
      <c r="I14" s="28">
        <v>15346.0</v>
      </c>
      <c r="K14" s="32">
        <f t="shared" si="3"/>
        <v>65.53789494</v>
      </c>
      <c r="L14" s="30">
        <f t="shared" si="4"/>
        <v>1.649468632</v>
      </c>
      <c r="M14" s="33">
        <f t="shared" si="5"/>
        <v>63.88842631</v>
      </c>
      <c r="O14" s="31">
        <f t="shared" si="6"/>
        <v>0.7368615436</v>
      </c>
      <c r="P14" s="31">
        <f t="shared" si="7"/>
        <v>2.304584502</v>
      </c>
      <c r="Q14" s="31">
        <f t="shared" si="8"/>
        <v>1.071319616</v>
      </c>
    </row>
    <row r="15">
      <c r="A15" s="25" t="s">
        <v>45</v>
      </c>
      <c r="B15" s="26">
        <v>29.97</v>
      </c>
      <c r="C15" s="27">
        <v>4.241</v>
      </c>
      <c r="D15" s="15">
        <v>331.3</v>
      </c>
      <c r="E15" s="15">
        <v>231.9</v>
      </c>
      <c r="F15" s="27">
        <f t="shared" si="1"/>
        <v>563.2</v>
      </c>
      <c r="G15" s="26">
        <f t="shared" si="2"/>
        <v>11200.9</v>
      </c>
      <c r="H15" s="26">
        <v>917.9</v>
      </c>
      <c r="I15" s="28">
        <v>10283.0</v>
      </c>
      <c r="K15" s="32">
        <f t="shared" si="3"/>
        <v>45.97218299</v>
      </c>
      <c r="L15" s="30">
        <f t="shared" si="4"/>
        <v>1.629794034</v>
      </c>
      <c r="M15" s="33">
        <f t="shared" si="5"/>
        <v>44.34238896</v>
      </c>
      <c r="O15" s="31">
        <f t="shared" si="6"/>
        <v>0.5060927542</v>
      </c>
      <c r="P15" s="31">
        <f t="shared" si="7"/>
        <v>2.198252223</v>
      </c>
      <c r="Q15" s="31">
        <f t="shared" si="8"/>
        <v>0.71786652</v>
      </c>
    </row>
    <row r="16">
      <c r="A16" s="25" t="s">
        <v>46</v>
      </c>
      <c r="B16" s="26">
        <v>24.97</v>
      </c>
      <c r="C16" s="27">
        <v>3.165</v>
      </c>
      <c r="D16" s="15">
        <v>324.4</v>
      </c>
      <c r="E16" s="15">
        <v>227.1</v>
      </c>
      <c r="F16" s="27">
        <f t="shared" si="1"/>
        <v>551.5</v>
      </c>
      <c r="G16" s="26">
        <f t="shared" si="2"/>
        <v>6538.7</v>
      </c>
      <c r="H16" s="26">
        <v>900.7</v>
      </c>
      <c r="I16" s="28">
        <v>5638.0</v>
      </c>
      <c r="K16" s="32">
        <f t="shared" si="3"/>
        <v>26.45925004</v>
      </c>
      <c r="L16" s="30">
        <f t="shared" si="4"/>
        <v>1.63318223</v>
      </c>
      <c r="M16" s="33">
        <f t="shared" si="5"/>
        <v>24.82606781</v>
      </c>
      <c r="O16" s="31">
        <f t="shared" si="6"/>
        <v>0.2954395354</v>
      </c>
      <c r="P16" s="31">
        <f t="shared" si="7"/>
        <v>2.157060439</v>
      </c>
      <c r="Q16" s="31">
        <f t="shared" si="8"/>
        <v>0.3935944218</v>
      </c>
    </row>
    <row r="17">
      <c r="A17" s="25" t="s">
        <v>47</v>
      </c>
      <c r="B17" s="26">
        <v>24.97</v>
      </c>
      <c r="C17" s="27">
        <v>3.165</v>
      </c>
      <c r="D17" s="15">
        <v>324.4</v>
      </c>
      <c r="G17" s="26">
        <f t="shared" si="2"/>
        <v>739016</v>
      </c>
      <c r="I17" s="26"/>
      <c r="J17" s="15">
        <v>739016.0</v>
      </c>
      <c r="K17" s="29">
        <f t="shared" si="3"/>
        <v>2278.10111</v>
      </c>
      <c r="L17" s="26"/>
      <c r="M17" s="28"/>
      <c r="N17" s="34">
        <f>J17/D17</f>
        <v>2278.10111</v>
      </c>
      <c r="O17" s="31">
        <f t="shared" si="6"/>
        <v>33.39112418</v>
      </c>
      <c r="P17" s="31"/>
      <c r="Q17" s="31"/>
      <c r="R17" s="31">
        <f>(J17/$J$20)*100</f>
        <v>100</v>
      </c>
    </row>
    <row r="19">
      <c r="A19" s="15"/>
      <c r="C19" s="15"/>
      <c r="D19" s="22" t="s">
        <v>52</v>
      </c>
      <c r="E19" s="22" t="s">
        <v>53</v>
      </c>
      <c r="F19" s="22" t="s">
        <v>54</v>
      </c>
      <c r="G19" s="23" t="s">
        <v>55</v>
      </c>
      <c r="H19" s="24" t="s">
        <v>56</v>
      </c>
      <c r="I19" s="23" t="s">
        <v>57</v>
      </c>
      <c r="J19" s="23" t="s">
        <v>58</v>
      </c>
      <c r="P19" s="23" t="s">
        <v>64</v>
      </c>
      <c r="Q19" s="23" t="s">
        <v>65</v>
      </c>
      <c r="R19" s="23" t="s">
        <v>66</v>
      </c>
    </row>
    <row r="20">
      <c r="A20" s="15"/>
      <c r="C20" s="35" t="s">
        <v>68</v>
      </c>
      <c r="D20" s="36">
        <f t="shared" ref="D20:J20" si="9">SUM(D2:D17)</f>
        <v>10263.3</v>
      </c>
      <c r="E20" s="36">
        <f t="shared" si="9"/>
        <v>6957.4</v>
      </c>
      <c r="F20" s="36">
        <f t="shared" si="9"/>
        <v>16896.3</v>
      </c>
      <c r="G20" s="36">
        <f t="shared" si="9"/>
        <v>2213210.9</v>
      </c>
      <c r="H20" s="36">
        <f t="shared" si="9"/>
        <v>41755.9</v>
      </c>
      <c r="I20" s="36">
        <f t="shared" si="9"/>
        <v>1432439</v>
      </c>
      <c r="J20" s="37">
        <f t="shared" si="9"/>
        <v>739016</v>
      </c>
      <c r="P20" s="38">
        <f t="shared" ref="P20:R20" si="10">(H20/$G$20)*100</f>
        <v>1.88666611</v>
      </c>
      <c r="Q20" s="39">
        <f t="shared" si="10"/>
        <v>64.72220971</v>
      </c>
      <c r="R20" s="40">
        <f t="shared" si="10"/>
        <v>33.39112418</v>
      </c>
    </row>
    <row r="21">
      <c r="D21" s="34">
        <f>SUM(D2:D6)</f>
        <v>5590.4</v>
      </c>
    </row>
    <row r="22">
      <c r="A22" s="41" t="s">
        <v>69</v>
      </c>
      <c r="B22" s="15">
        <v>0.4736</v>
      </c>
      <c r="C22" s="42"/>
      <c r="D22" s="22" t="s">
        <v>70</v>
      </c>
      <c r="E22" s="22" t="s">
        <v>71</v>
      </c>
      <c r="F22" s="22" t="s">
        <v>72</v>
      </c>
    </row>
    <row r="23">
      <c r="A23" s="41" t="s">
        <v>73</v>
      </c>
      <c r="B23" s="15">
        <v>5.212</v>
      </c>
      <c r="C23" s="42"/>
      <c r="D23" s="43">
        <f t="shared" ref="D23:F23" si="11">D20*0.26</f>
        <v>2668.458</v>
      </c>
      <c r="E23" s="44">
        <f t="shared" si="11"/>
        <v>1808.924</v>
      </c>
      <c r="F23" s="45">
        <f t="shared" si="11"/>
        <v>4393.038</v>
      </c>
    </row>
    <row r="24">
      <c r="A24" s="41" t="s">
        <v>74</v>
      </c>
      <c r="B24" s="15">
        <v>4.329</v>
      </c>
      <c r="C24" s="42"/>
      <c r="D24" s="26"/>
    </row>
    <row r="25">
      <c r="A25" s="46" t="s">
        <v>75</v>
      </c>
      <c r="B25" s="47">
        <f>$D$20 / ($B$31*1000)</f>
        <v>0.002310513282</v>
      </c>
      <c r="C25" s="42"/>
      <c r="D25" s="48"/>
    </row>
    <row r="26">
      <c r="A26" s="41" t="s">
        <v>76</v>
      </c>
      <c r="B26" s="49">
        <f>B25*0.26</f>
        <v>0.0006007334534</v>
      </c>
      <c r="C26" s="42"/>
      <c r="D26" s="48"/>
    </row>
    <row r="27">
      <c r="A27" s="25"/>
      <c r="B27" s="50"/>
      <c r="C27" s="42"/>
      <c r="D27" s="48"/>
    </row>
    <row r="28">
      <c r="A28" s="46" t="s">
        <v>77</v>
      </c>
      <c r="B28" s="26">
        <v>1138.0</v>
      </c>
    </row>
    <row r="29">
      <c r="A29" s="46" t="s">
        <v>78</v>
      </c>
      <c r="B29" s="51">
        <v>2296.0</v>
      </c>
      <c r="F29" s="15" t="s">
        <v>79</v>
      </c>
    </row>
    <row r="30">
      <c r="A30" s="46" t="s">
        <v>80</v>
      </c>
      <c r="B30" s="51">
        <v>1935.0</v>
      </c>
    </row>
    <row r="31">
      <c r="A31" s="41" t="s">
        <v>81</v>
      </c>
      <c r="B31" s="52">
        <v>4442.0</v>
      </c>
    </row>
    <row r="32">
      <c r="A32" s="41"/>
      <c r="B32" s="52"/>
    </row>
    <row r="33">
      <c r="A33" s="41"/>
      <c r="B33" s="47"/>
    </row>
    <row r="34">
      <c r="A34" s="46"/>
      <c r="B34" s="51"/>
    </row>
    <row r="35">
      <c r="A35" s="46"/>
      <c r="B35" s="5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2" t="s">
        <v>82</v>
      </c>
      <c r="B1" s="22" t="s">
        <v>52</v>
      </c>
      <c r="C1" s="53" t="s">
        <v>69</v>
      </c>
      <c r="D1" s="22" t="s">
        <v>83</v>
      </c>
      <c r="E1" s="22" t="s">
        <v>84</v>
      </c>
      <c r="F1" s="54"/>
      <c r="G1" s="22" t="s">
        <v>85</v>
      </c>
      <c r="H1" s="22" t="s">
        <v>52</v>
      </c>
      <c r="I1" s="53" t="s">
        <v>69</v>
      </c>
      <c r="J1" s="22" t="s">
        <v>83</v>
      </c>
      <c r="K1" s="22" t="s">
        <v>84</v>
      </c>
      <c r="L1" s="54"/>
      <c r="M1" s="22" t="s">
        <v>86</v>
      </c>
      <c r="N1" s="22" t="s">
        <v>52</v>
      </c>
      <c r="O1" s="53" t="s">
        <v>69</v>
      </c>
      <c r="P1" s="22" t="s">
        <v>83</v>
      </c>
      <c r="Q1" s="22" t="s">
        <v>84</v>
      </c>
      <c r="R1" s="54"/>
      <c r="S1" s="54"/>
      <c r="T1" s="54"/>
      <c r="U1" s="54"/>
      <c r="V1" s="54"/>
      <c r="W1" s="54"/>
      <c r="X1" s="54"/>
      <c r="Y1" s="54"/>
      <c r="Z1" s="54"/>
    </row>
    <row r="2">
      <c r="A2" s="25">
        <v>20.0</v>
      </c>
      <c r="B2" s="25">
        <v>9938.0</v>
      </c>
      <c r="C2" s="25">
        <v>0.4736</v>
      </c>
      <c r="D2" s="25">
        <v>5.212</v>
      </c>
      <c r="E2" s="25">
        <v>4.329</v>
      </c>
      <c r="F2" s="54"/>
      <c r="G2" s="25">
        <v>5.0</v>
      </c>
      <c r="H2" s="25">
        <v>14073.0</v>
      </c>
      <c r="I2" s="25">
        <v>0.6191</v>
      </c>
      <c r="J2" s="25">
        <v>7.411</v>
      </c>
      <c r="K2" s="25">
        <v>6.129</v>
      </c>
      <c r="L2" s="54"/>
      <c r="M2" s="25">
        <v>50.0</v>
      </c>
      <c r="N2" s="25">
        <v>5119.0</v>
      </c>
      <c r="O2" s="25">
        <v>0.2822</v>
      </c>
      <c r="P2" s="25">
        <v>2.662</v>
      </c>
      <c r="Q2" s="25">
        <v>2.23</v>
      </c>
      <c r="R2" s="54"/>
      <c r="S2" s="54"/>
      <c r="T2" s="54"/>
      <c r="U2" s="54"/>
      <c r="V2" s="54"/>
      <c r="W2" s="54"/>
      <c r="X2" s="54"/>
      <c r="Y2" s="54"/>
      <c r="Z2" s="54"/>
    </row>
    <row r="3">
      <c r="A3" s="25">
        <v>18.0</v>
      </c>
      <c r="B3" s="25">
        <v>9645.0</v>
      </c>
      <c r="C3" s="25">
        <v>0.4822</v>
      </c>
      <c r="D3" s="25">
        <v>5.056</v>
      </c>
      <c r="E3" s="25">
        <v>4.201</v>
      </c>
      <c r="F3" s="54"/>
      <c r="G3" s="25">
        <v>10.0</v>
      </c>
      <c r="H3" s="25">
        <v>13501.0</v>
      </c>
      <c r="I3" s="25">
        <v>0.5996</v>
      </c>
      <c r="J3" s="25">
        <v>7.106</v>
      </c>
      <c r="K3" s="25">
        <v>5.88</v>
      </c>
      <c r="L3" s="54"/>
      <c r="M3" s="25">
        <v>60.0</v>
      </c>
      <c r="N3" s="25">
        <v>7234.0</v>
      </c>
      <c r="O3" s="25">
        <v>0.3704</v>
      </c>
      <c r="P3" s="25">
        <v>3.779</v>
      </c>
      <c r="Q3" s="25">
        <v>3.151</v>
      </c>
      <c r="R3" s="54"/>
      <c r="S3" s="54"/>
      <c r="T3" s="54"/>
      <c r="U3" s="54"/>
      <c r="V3" s="54"/>
      <c r="W3" s="54"/>
      <c r="X3" s="54"/>
      <c r="Y3" s="54"/>
      <c r="Z3" s="54"/>
    </row>
    <row r="4">
      <c r="A4" s="25">
        <v>16.0</v>
      </c>
      <c r="B4" s="25">
        <v>9366.0</v>
      </c>
      <c r="C4" s="25">
        <v>0.4901</v>
      </c>
      <c r="D4" s="25">
        <v>4.907</v>
      </c>
      <c r="E4" s="25">
        <v>4.079</v>
      </c>
      <c r="F4" s="54"/>
      <c r="G4" s="25">
        <v>15.0</v>
      </c>
      <c r="H4" s="25">
        <v>12887.0</v>
      </c>
      <c r="I4" s="25">
        <v>0.5785</v>
      </c>
      <c r="J4" s="25">
        <v>6.78</v>
      </c>
      <c r="K4" s="25">
        <v>5.613</v>
      </c>
      <c r="L4" s="54"/>
      <c r="M4" s="25">
        <v>70.0</v>
      </c>
      <c r="N4" s="25">
        <v>8614.0</v>
      </c>
      <c r="O4" s="25">
        <v>0.4241</v>
      </c>
      <c r="P4" s="25">
        <v>4.51</v>
      </c>
      <c r="Q4" s="25">
        <v>3.752</v>
      </c>
      <c r="R4" s="54"/>
      <c r="S4" s="54"/>
      <c r="T4" s="54"/>
      <c r="U4" s="54"/>
      <c r="V4" s="54"/>
      <c r="W4" s="54"/>
      <c r="X4" s="54"/>
      <c r="Y4" s="54"/>
      <c r="Z4" s="54"/>
    </row>
    <row r="5">
      <c r="A5" s="25">
        <v>14.0</v>
      </c>
      <c r="B5" s="25">
        <v>9101.0</v>
      </c>
      <c r="C5" s="25">
        <v>0.4975</v>
      </c>
      <c r="D5" s="25">
        <v>4.766</v>
      </c>
      <c r="E5" s="25">
        <v>3.964</v>
      </c>
      <c r="F5" s="54"/>
      <c r="G5" s="25">
        <v>20.0</v>
      </c>
      <c r="H5" s="25">
        <v>12228.0</v>
      </c>
      <c r="I5" s="25">
        <v>0.5556</v>
      </c>
      <c r="J5" s="25">
        <v>6.429</v>
      </c>
      <c r="K5" s="25">
        <v>5.326</v>
      </c>
      <c r="L5" s="54"/>
      <c r="M5" s="25">
        <v>80.0</v>
      </c>
      <c r="N5" s="25">
        <v>9567.0</v>
      </c>
      <c r="O5" s="25">
        <v>0.4599</v>
      </c>
      <c r="P5" s="25">
        <v>5.015</v>
      </c>
      <c r="Q5" s="25">
        <v>4.167</v>
      </c>
      <c r="R5" s="54"/>
      <c r="S5" s="54"/>
      <c r="T5" s="54"/>
      <c r="U5" s="54"/>
      <c r="V5" s="54"/>
      <c r="W5" s="54"/>
      <c r="X5" s="54"/>
      <c r="Y5" s="54"/>
      <c r="Z5" s="54"/>
    </row>
    <row r="6">
      <c r="A6" s="25">
        <v>12.0</v>
      </c>
      <c r="B6" s="25">
        <v>8848.0</v>
      </c>
      <c r="C6" s="25">
        <v>0.5043</v>
      </c>
      <c r="D6" s="25">
        <v>4.631</v>
      </c>
      <c r="E6" s="25">
        <v>3.854</v>
      </c>
      <c r="F6" s="54"/>
      <c r="G6" s="25">
        <v>25.0</v>
      </c>
      <c r="H6" s="25">
        <v>11519.0</v>
      </c>
      <c r="I6" s="25">
        <v>0.5306</v>
      </c>
      <c r="J6" s="25">
        <v>6.052</v>
      </c>
      <c r="K6" s="25">
        <v>5.017</v>
      </c>
      <c r="L6" s="54"/>
      <c r="M6" s="25">
        <v>90.0</v>
      </c>
      <c r="N6" s="25">
        <v>10259.0</v>
      </c>
      <c r="O6" s="25">
        <v>0.4854</v>
      </c>
      <c r="P6" s="25">
        <v>5.382</v>
      </c>
      <c r="Q6" s="25">
        <v>4.468</v>
      </c>
      <c r="R6" s="54"/>
      <c r="S6" s="54"/>
      <c r="T6" s="54"/>
      <c r="U6" s="54"/>
      <c r="V6" s="54"/>
      <c r="W6" s="54"/>
      <c r="X6" s="54"/>
      <c r="Y6" s="54"/>
      <c r="Z6" s="54"/>
    </row>
    <row r="7">
      <c r="A7" s="25">
        <v>10.0</v>
      </c>
      <c r="B7" s="25">
        <v>8607.0</v>
      </c>
      <c r="C7" s="25">
        <v>0.5106</v>
      </c>
      <c r="D7" s="25">
        <v>4.503</v>
      </c>
      <c r="E7" s="25">
        <v>3.749</v>
      </c>
      <c r="F7" s="54"/>
      <c r="G7" s="25">
        <v>30.0</v>
      </c>
      <c r="H7" s="25">
        <v>10757.0</v>
      </c>
      <c r="I7" s="25">
        <v>0.5034</v>
      </c>
      <c r="J7" s="25">
        <v>5.647</v>
      </c>
      <c r="K7" s="25">
        <v>4.685</v>
      </c>
      <c r="L7" s="54"/>
      <c r="M7" s="25">
        <v>100.0</v>
      </c>
      <c r="N7" s="25">
        <v>10783.0</v>
      </c>
      <c r="O7" s="25">
        <v>0.5044</v>
      </c>
      <c r="P7" s="25">
        <v>5.661</v>
      </c>
      <c r="Q7" s="25">
        <v>4.697</v>
      </c>
      <c r="R7" s="54"/>
      <c r="S7" s="54"/>
      <c r="T7" s="54"/>
      <c r="U7" s="54"/>
      <c r="V7" s="54"/>
      <c r="W7" s="54"/>
      <c r="X7" s="54"/>
      <c r="Y7" s="54"/>
      <c r="Z7" s="54"/>
    </row>
    <row r="8">
      <c r="A8" s="25">
        <v>8.0</v>
      </c>
      <c r="B8" s="25">
        <v>8378.0</v>
      </c>
      <c r="C8" s="25">
        <v>0.5165</v>
      </c>
      <c r="D8" s="25">
        <v>4.381</v>
      </c>
      <c r="E8" s="25">
        <v>3.649</v>
      </c>
      <c r="F8" s="54"/>
      <c r="G8" s="25">
        <v>35.0</v>
      </c>
      <c r="H8" s="25">
        <v>9938.0</v>
      </c>
      <c r="I8" s="25">
        <v>0.4736</v>
      </c>
      <c r="J8" s="25">
        <v>5.212</v>
      </c>
      <c r="K8" s="25">
        <v>4.329</v>
      </c>
      <c r="L8" s="54"/>
      <c r="M8" s="25">
        <v>110.0</v>
      </c>
      <c r="N8" s="25">
        <v>11194.0</v>
      </c>
      <c r="O8" s="25">
        <v>0.5191</v>
      </c>
      <c r="P8" s="25">
        <v>5.879</v>
      </c>
      <c r="Q8" s="25">
        <v>4.875</v>
      </c>
      <c r="R8" s="54"/>
      <c r="S8" s="54"/>
      <c r="T8" s="54"/>
      <c r="U8" s="54"/>
      <c r="V8" s="54"/>
      <c r="W8" s="54"/>
      <c r="X8" s="54"/>
      <c r="Y8" s="54"/>
      <c r="Z8" s="54"/>
    </row>
    <row r="9">
      <c r="A9" s="25">
        <v>6.0</v>
      </c>
      <c r="B9" s="25">
        <v>8159.0</v>
      </c>
      <c r="C9" s="25">
        <v>0.522</v>
      </c>
      <c r="D9" s="25">
        <v>4.265</v>
      </c>
      <c r="E9" s="25">
        <v>3.554</v>
      </c>
      <c r="F9" s="54"/>
      <c r="G9" s="25">
        <v>40.0</v>
      </c>
      <c r="H9" s="25">
        <v>9059.0</v>
      </c>
      <c r="I9" s="25">
        <v>0.441</v>
      </c>
      <c r="J9" s="25">
        <v>4.746</v>
      </c>
      <c r="K9" s="25">
        <v>3.946</v>
      </c>
      <c r="L9" s="54"/>
      <c r="M9" s="25">
        <v>120.0</v>
      </c>
      <c r="N9" s="25">
        <v>11523.0</v>
      </c>
      <c r="O9" s="25">
        <v>0.5308</v>
      </c>
      <c r="P9" s="25">
        <v>6.054</v>
      </c>
      <c r="Q9" s="25">
        <v>5.019</v>
      </c>
      <c r="R9" s="54"/>
      <c r="S9" s="54"/>
      <c r="T9" s="54"/>
      <c r="U9" s="54"/>
      <c r="V9" s="54"/>
      <c r="W9" s="54"/>
      <c r="X9" s="54"/>
      <c r="Y9" s="54"/>
      <c r="Z9" s="54"/>
    </row>
    <row r="10">
      <c r="A10" s="25">
        <v>4.0</v>
      </c>
      <c r="B10" s="25">
        <v>7950.0</v>
      </c>
      <c r="C10" s="25">
        <v>0.5272</v>
      </c>
      <c r="D10" s="25">
        <v>4.154</v>
      </c>
      <c r="E10" s="25">
        <v>3.463</v>
      </c>
      <c r="F10" s="54"/>
      <c r="G10" s="25">
        <v>45.0</v>
      </c>
      <c r="H10" s="25">
        <v>8119.0</v>
      </c>
      <c r="I10" s="25">
        <v>0.4052</v>
      </c>
      <c r="J10" s="25">
        <v>4.247</v>
      </c>
      <c r="K10" s="25">
        <v>3.536</v>
      </c>
      <c r="L10" s="54"/>
      <c r="M10" s="25">
        <v>130.0</v>
      </c>
      <c r="N10" s="25">
        <v>11793.0</v>
      </c>
      <c r="O10" s="25">
        <v>0.5404</v>
      </c>
      <c r="P10" s="25">
        <v>6.198</v>
      </c>
      <c r="Q10" s="25">
        <v>5.137</v>
      </c>
      <c r="R10" s="54"/>
      <c r="S10" s="54"/>
      <c r="T10" s="54"/>
      <c r="U10" s="54"/>
      <c r="V10" s="54"/>
      <c r="W10" s="54"/>
      <c r="X10" s="54"/>
      <c r="Y10" s="54"/>
      <c r="Z10" s="54"/>
    </row>
    <row r="11">
      <c r="A11" s="25">
        <v>2.0</v>
      </c>
      <c r="B11" s="25">
        <v>7751.0</v>
      </c>
      <c r="C11" s="25">
        <v>0.532</v>
      </c>
      <c r="D11" s="25">
        <v>4.048</v>
      </c>
      <c r="E11" s="25">
        <v>3.376</v>
      </c>
      <c r="F11" s="54"/>
      <c r="G11" s="25">
        <v>50.0</v>
      </c>
      <c r="H11" s="25">
        <v>7118.0</v>
      </c>
      <c r="I11" s="25">
        <v>0.3659</v>
      </c>
      <c r="J11" s="25">
        <v>3.717</v>
      </c>
      <c r="K11" s="25">
        <v>3.1</v>
      </c>
      <c r="L11" s="54"/>
      <c r="M11" s="25">
        <v>140.0</v>
      </c>
      <c r="N11" s="25">
        <v>12019.0</v>
      </c>
      <c r="O11" s="25">
        <v>0.5484</v>
      </c>
      <c r="P11" s="25">
        <v>6.318</v>
      </c>
      <c r="Q11" s="25">
        <v>5.235</v>
      </c>
      <c r="R11" s="54"/>
      <c r="S11" s="54"/>
      <c r="T11" s="54"/>
      <c r="U11" s="54"/>
      <c r="V11" s="54"/>
      <c r="W11" s="54"/>
      <c r="X11" s="54"/>
      <c r="Y11" s="54"/>
      <c r="Z11" s="54"/>
    </row>
    <row r="12">
      <c r="A12" s="25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4.0"/>
    <col customWidth="1" min="2" max="2" width="25.88"/>
    <col customWidth="1" min="5" max="5" width="17.13"/>
    <col customWidth="1" min="11" max="11" width="55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2"/>
      <c r="N1" s="2"/>
      <c r="O1" s="7"/>
      <c r="P1" s="7">
        <v>8190.0</v>
      </c>
      <c r="Q1" s="7">
        <v>2296.0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87</v>
      </c>
      <c r="B2" s="4" t="s">
        <v>88</v>
      </c>
      <c r="C2" s="4">
        <v>40.0</v>
      </c>
      <c r="D2" s="4">
        <v>94.97</v>
      </c>
      <c r="E2" s="4">
        <v>101.3</v>
      </c>
      <c r="F2" s="4">
        <v>1.25</v>
      </c>
      <c r="G2" s="4">
        <v>398.0</v>
      </c>
      <c r="H2" s="4">
        <v>0.0</v>
      </c>
      <c r="I2" s="4" t="s">
        <v>89</v>
      </c>
      <c r="J2" s="5">
        <v>35.0</v>
      </c>
      <c r="K2" s="7"/>
      <c r="L2" s="55" t="s">
        <v>90</v>
      </c>
      <c r="M2" s="55" t="s">
        <v>91</v>
      </c>
      <c r="N2" s="55" t="s">
        <v>92</v>
      </c>
      <c r="O2" s="55" t="s">
        <v>93</v>
      </c>
      <c r="P2" s="55" t="s">
        <v>94</v>
      </c>
      <c r="Q2" s="55" t="s">
        <v>95</v>
      </c>
      <c r="R2" s="55" t="s">
        <v>96</v>
      </c>
      <c r="S2" s="55" t="s">
        <v>97</v>
      </c>
      <c r="T2" s="7"/>
      <c r="U2" s="2"/>
      <c r="V2" s="2"/>
      <c r="W2" s="2"/>
      <c r="X2" s="2"/>
      <c r="Y2" s="2"/>
      <c r="Z2" s="2"/>
      <c r="AA2" s="2"/>
    </row>
    <row r="3">
      <c r="A3" s="6"/>
      <c r="B3" s="7" t="s">
        <v>98</v>
      </c>
      <c r="C3" s="7">
        <v>41.0</v>
      </c>
      <c r="D3" s="7">
        <v>94.97</v>
      </c>
      <c r="E3" s="7">
        <v>106.4</v>
      </c>
      <c r="F3" s="7">
        <v>1.25</v>
      </c>
      <c r="G3" s="7">
        <v>398.0</v>
      </c>
      <c r="H3" s="7">
        <v>0.005266</v>
      </c>
      <c r="I3" s="7" t="s">
        <v>89</v>
      </c>
      <c r="J3" s="8">
        <v>35.0</v>
      </c>
      <c r="K3" s="2"/>
      <c r="L3" s="7">
        <v>92.97</v>
      </c>
      <c r="M3" s="7">
        <v>1.0</v>
      </c>
      <c r="N3" s="7">
        <v>78.49</v>
      </c>
      <c r="O3" s="7">
        <v>1438.0</v>
      </c>
      <c r="P3" s="2">
        <f>O3/P1</f>
        <v>0.1755799756</v>
      </c>
      <c r="Q3" s="2">
        <f>O3/$Q1</f>
        <v>0.6263066202</v>
      </c>
      <c r="R3" s="7">
        <v>38.89</v>
      </c>
      <c r="S3" s="2">
        <f>207.1 * 1438</f>
        <v>297809.8</v>
      </c>
      <c r="T3" s="2"/>
      <c r="U3" s="2"/>
      <c r="V3" s="2"/>
      <c r="W3" s="2"/>
      <c r="X3" s="2"/>
      <c r="Y3" s="2"/>
      <c r="Z3" s="2"/>
      <c r="AA3" s="2"/>
    </row>
    <row r="4">
      <c r="A4" s="6"/>
      <c r="B4" s="7" t="s">
        <v>99</v>
      </c>
      <c r="C4" s="7">
        <v>42.0</v>
      </c>
      <c r="D4" s="7">
        <v>94.97</v>
      </c>
      <c r="E4" s="7">
        <v>106.4</v>
      </c>
      <c r="F4" s="7">
        <v>1.25</v>
      </c>
      <c r="G4" s="7">
        <v>617.0</v>
      </c>
      <c r="H4" s="7">
        <v>0.006145</v>
      </c>
      <c r="I4" s="7" t="s">
        <v>89</v>
      </c>
      <c r="J4" s="8">
        <v>35.0</v>
      </c>
      <c r="K4" s="2"/>
      <c r="L4" s="56">
        <v>90.98</v>
      </c>
      <c r="M4" s="7">
        <v>2.0</v>
      </c>
      <c r="N4" s="56">
        <v>72.82</v>
      </c>
      <c r="O4" s="7">
        <v>1294.0</v>
      </c>
      <c r="P4" s="2">
        <f>O4/P1</f>
        <v>0.157997558</v>
      </c>
      <c r="Q4" s="2">
        <f>O4/$Q1</f>
        <v>0.5635888502</v>
      </c>
      <c r="R4" s="56">
        <v>43.21</v>
      </c>
      <c r="S4" s="2">
        <f>207.5 * 1294</f>
        <v>268505</v>
      </c>
      <c r="T4" s="2"/>
      <c r="U4" s="2"/>
      <c r="V4" s="2"/>
      <c r="W4" s="2"/>
      <c r="X4" s="2"/>
      <c r="Y4" s="2"/>
      <c r="Z4" s="2"/>
      <c r="AA4" s="2"/>
    </row>
    <row r="5">
      <c r="A5" s="6"/>
      <c r="B5" s="7" t="s">
        <v>100</v>
      </c>
      <c r="C5" s="7">
        <v>43.0</v>
      </c>
      <c r="D5" s="7">
        <v>92.97</v>
      </c>
      <c r="E5" s="7">
        <v>78.49</v>
      </c>
      <c r="F5" s="7">
        <v>1.849</v>
      </c>
      <c r="G5" s="7">
        <v>617.0</v>
      </c>
      <c r="H5" s="7">
        <v>207.1</v>
      </c>
      <c r="I5" s="7">
        <v>0.1</v>
      </c>
      <c r="J5" s="8">
        <v>38.89</v>
      </c>
      <c r="K5" s="2"/>
      <c r="L5" s="56">
        <v>88.98</v>
      </c>
      <c r="M5" s="7">
        <v>3.0</v>
      </c>
      <c r="N5" s="56">
        <v>67.5</v>
      </c>
      <c r="O5" s="7">
        <v>1165.0</v>
      </c>
      <c r="P5" s="2">
        <f>O5/P1</f>
        <v>0.1422466422</v>
      </c>
      <c r="Q5" s="2">
        <f>O5/$Q1</f>
        <v>0.5074041812</v>
      </c>
      <c r="R5" s="56">
        <v>48.01</v>
      </c>
      <c r="S5" s="2">
        <f>207.9 * 1165</f>
        <v>242203.5</v>
      </c>
      <c r="T5" s="2"/>
      <c r="U5" s="2"/>
      <c r="V5" s="2"/>
      <c r="W5" s="2"/>
      <c r="X5" s="2"/>
      <c r="Y5" s="2"/>
      <c r="Z5" s="2"/>
      <c r="AA5" s="2"/>
    </row>
    <row r="6">
      <c r="A6" s="6"/>
      <c r="B6" s="7" t="s">
        <v>101</v>
      </c>
      <c r="C6" s="7">
        <v>44.0</v>
      </c>
      <c r="D6" s="7">
        <v>92.97</v>
      </c>
      <c r="E6" s="7">
        <v>78.49</v>
      </c>
      <c r="F6" s="7">
        <v>7.44</v>
      </c>
      <c r="G6" s="7">
        <v>2664.0</v>
      </c>
      <c r="H6" s="7">
        <v>1935.0</v>
      </c>
      <c r="I6" s="7">
        <v>1.0</v>
      </c>
      <c r="J6" s="8">
        <v>0.0</v>
      </c>
      <c r="K6" s="2"/>
      <c r="L6" s="56">
        <v>86.98</v>
      </c>
      <c r="M6" s="7">
        <v>4.0</v>
      </c>
      <c r="N6" s="56">
        <v>62.5</v>
      </c>
      <c r="O6" s="7">
        <v>1048.0</v>
      </c>
      <c r="P6" s="2">
        <f>O6/P1</f>
        <v>0.127960928</v>
      </c>
      <c r="Q6" s="2">
        <f>O6/$Q1</f>
        <v>0.456445993</v>
      </c>
      <c r="R6" s="56">
        <v>53.35</v>
      </c>
      <c r="S6" s="2">
        <f>208.4 * 1048</f>
        <v>218403.2</v>
      </c>
      <c r="T6" s="2"/>
      <c r="U6" s="2"/>
      <c r="V6" s="2"/>
      <c r="W6" s="2"/>
      <c r="X6" s="2"/>
      <c r="Y6" s="2"/>
      <c r="Z6" s="2"/>
      <c r="AA6" s="2"/>
    </row>
    <row r="7">
      <c r="A7" s="9"/>
      <c r="B7" s="10" t="s">
        <v>102</v>
      </c>
      <c r="C7" s="10">
        <v>45.0</v>
      </c>
      <c r="D7" s="10">
        <v>92.97</v>
      </c>
      <c r="E7" s="10">
        <v>78.49</v>
      </c>
      <c r="F7" s="10">
        <v>1.227</v>
      </c>
      <c r="G7" s="10">
        <v>389.6</v>
      </c>
      <c r="H7" s="10">
        <v>-2151.0</v>
      </c>
      <c r="I7" s="10">
        <v>0.0</v>
      </c>
      <c r="J7" s="11">
        <v>0.0</v>
      </c>
      <c r="K7" s="2"/>
      <c r="L7" s="56">
        <v>84.98</v>
      </c>
      <c r="M7" s="7">
        <v>5.0</v>
      </c>
      <c r="N7" s="56">
        <v>57.82</v>
      </c>
      <c r="O7" s="7">
        <v>943.5</v>
      </c>
      <c r="P7" s="2">
        <f>O7/P1</f>
        <v>0.1152014652</v>
      </c>
      <c r="Q7" s="2">
        <f>O7/$Q1</f>
        <v>0.4109320557</v>
      </c>
      <c r="R7" s="56">
        <v>59.27</v>
      </c>
      <c r="S7" s="2">
        <f>208.8 * 943.5</f>
        <v>197002.8</v>
      </c>
      <c r="T7" s="2"/>
      <c r="U7" s="2"/>
      <c r="V7" s="2"/>
      <c r="W7" s="2"/>
      <c r="X7" s="2"/>
      <c r="Y7" s="2"/>
      <c r="Z7" s="2"/>
      <c r="AA7" s="2"/>
    </row>
    <row r="8">
      <c r="A8" s="3" t="s">
        <v>103</v>
      </c>
      <c r="B8" s="4" t="s">
        <v>88</v>
      </c>
      <c r="C8" s="57">
        <v>50.0</v>
      </c>
      <c r="D8" s="58">
        <v>92.97</v>
      </c>
      <c r="E8" s="58">
        <v>78.49</v>
      </c>
      <c r="F8" s="58">
        <v>1.227</v>
      </c>
      <c r="G8" s="58">
        <v>389.6</v>
      </c>
      <c r="H8" s="58">
        <v>0.0</v>
      </c>
      <c r="I8" s="58">
        <v>0.0</v>
      </c>
      <c r="J8" s="59">
        <v>38.89</v>
      </c>
      <c r="K8" s="2"/>
      <c r="L8" s="7">
        <v>82.98</v>
      </c>
      <c r="M8" s="7">
        <v>6.0</v>
      </c>
      <c r="N8" s="56">
        <v>53.43</v>
      </c>
      <c r="O8" s="7">
        <v>849.1</v>
      </c>
      <c r="P8" s="2">
        <f>O8/P1</f>
        <v>0.1036752137</v>
      </c>
      <c r="Q8" s="2">
        <f>O8/$Q1</f>
        <v>0.3698170732</v>
      </c>
      <c r="R8" s="56">
        <v>65.86</v>
      </c>
      <c r="S8" s="2">
        <f>209.2 * 849.1</f>
        <v>177631.72</v>
      </c>
      <c r="T8" s="2"/>
      <c r="U8" s="2"/>
      <c r="V8" s="2"/>
      <c r="W8" s="2"/>
      <c r="X8" s="2"/>
      <c r="Y8" s="2"/>
      <c r="Z8" s="2"/>
      <c r="AA8" s="2"/>
    </row>
    <row r="9">
      <c r="A9" s="6"/>
      <c r="B9" s="7" t="s">
        <v>98</v>
      </c>
      <c r="C9" s="60">
        <v>51.0</v>
      </c>
      <c r="D9" s="56">
        <v>92.98</v>
      </c>
      <c r="E9" s="56">
        <v>82.42</v>
      </c>
      <c r="F9" s="56">
        <v>1.227</v>
      </c>
      <c r="G9" s="56">
        <v>389.6</v>
      </c>
      <c r="H9" s="56">
        <v>0.004066</v>
      </c>
      <c r="I9" s="56" t="s">
        <v>89</v>
      </c>
      <c r="J9" s="61">
        <v>38.89</v>
      </c>
      <c r="K9" s="2"/>
      <c r="L9" s="7">
        <v>80.98</v>
      </c>
      <c r="M9" s="7">
        <v>7.0</v>
      </c>
      <c r="N9" s="7">
        <v>49.33</v>
      </c>
      <c r="O9" s="7">
        <v>764.2</v>
      </c>
      <c r="P9" s="2">
        <f>O9/P1</f>
        <v>0.09330891331</v>
      </c>
      <c r="Q9" s="2">
        <f>O9/$Q1</f>
        <v>0.3328397213</v>
      </c>
      <c r="R9" s="7">
        <v>73.18</v>
      </c>
      <c r="S9" s="2">
        <f>209.6 * 764.2</f>
        <v>160176.32</v>
      </c>
      <c r="T9" s="2"/>
      <c r="U9" s="2"/>
      <c r="V9" s="2"/>
      <c r="W9" s="2"/>
      <c r="X9" s="2"/>
      <c r="Y9" s="2"/>
      <c r="Z9" s="2"/>
      <c r="AA9" s="2"/>
    </row>
    <row r="10">
      <c r="A10" s="6"/>
      <c r="B10" s="7" t="s">
        <v>99</v>
      </c>
      <c r="C10" s="60">
        <v>52.0</v>
      </c>
      <c r="D10" s="56">
        <v>92.98</v>
      </c>
      <c r="E10" s="56">
        <v>82.42</v>
      </c>
      <c r="F10" s="56">
        <v>1.227</v>
      </c>
      <c r="G10" s="56">
        <v>389.6</v>
      </c>
      <c r="H10" s="56">
        <v>0.004745</v>
      </c>
      <c r="I10" s="56" t="s">
        <v>89</v>
      </c>
      <c r="J10" s="61">
        <v>38.89</v>
      </c>
      <c r="K10" s="2"/>
      <c r="L10" s="7">
        <v>78.98</v>
      </c>
      <c r="M10" s="7">
        <v>8.0</v>
      </c>
      <c r="N10" s="7">
        <v>45.49</v>
      </c>
      <c r="O10" s="7">
        <v>687.8</v>
      </c>
      <c r="P10" s="2">
        <f>O10/P1</f>
        <v>0.08398046398</v>
      </c>
      <c r="Q10" s="2">
        <f>O10/$Q1</f>
        <v>0.2995644599</v>
      </c>
      <c r="R10" s="7">
        <v>81.31</v>
      </c>
      <c r="S10" s="2">
        <f>210 * 687.8</f>
        <v>144438</v>
      </c>
      <c r="T10" s="2"/>
      <c r="U10" s="2"/>
      <c r="V10" s="2"/>
      <c r="W10" s="2"/>
      <c r="X10" s="2"/>
      <c r="Y10" s="2"/>
      <c r="Z10" s="2"/>
      <c r="AA10" s="2"/>
    </row>
    <row r="11">
      <c r="A11" s="6"/>
      <c r="B11" s="7" t="s">
        <v>100</v>
      </c>
      <c r="C11" s="60">
        <v>53.0</v>
      </c>
      <c r="D11" s="56">
        <v>90.98</v>
      </c>
      <c r="E11" s="56">
        <v>72.82</v>
      </c>
      <c r="F11" s="56">
        <v>1.83</v>
      </c>
      <c r="G11" s="56">
        <v>609.1</v>
      </c>
      <c r="H11" s="56">
        <v>207.5</v>
      </c>
      <c r="I11" s="56">
        <v>0.1</v>
      </c>
      <c r="J11" s="61">
        <v>43.21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6"/>
      <c r="B12" s="7" t="s">
        <v>101</v>
      </c>
      <c r="C12" s="60">
        <v>54.0</v>
      </c>
      <c r="D12" s="56">
        <v>90.98</v>
      </c>
      <c r="E12" s="56">
        <v>72.82</v>
      </c>
      <c r="F12" s="56">
        <v>7.466</v>
      </c>
      <c r="G12" s="56">
        <v>2661.0</v>
      </c>
      <c r="H12" s="56">
        <v>1939.0</v>
      </c>
      <c r="I12" s="56">
        <v>1.0</v>
      </c>
      <c r="J12" s="61">
        <v>0.0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9"/>
      <c r="B13" s="10" t="s">
        <v>102</v>
      </c>
      <c r="C13" s="62">
        <v>55.0</v>
      </c>
      <c r="D13" s="63">
        <v>90.98</v>
      </c>
      <c r="E13" s="63">
        <v>72.82</v>
      </c>
      <c r="F13" s="63">
        <v>1.204</v>
      </c>
      <c r="G13" s="63">
        <v>381.1</v>
      </c>
      <c r="H13" s="63">
        <v>-2155.0</v>
      </c>
      <c r="I13" s="63">
        <v>0.0</v>
      </c>
      <c r="J13" s="64">
        <v>0.0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3" t="s">
        <v>104</v>
      </c>
      <c r="B14" s="4" t="s">
        <v>88</v>
      </c>
      <c r="C14" s="65">
        <v>60.0</v>
      </c>
      <c r="D14" s="58">
        <v>90.98</v>
      </c>
      <c r="E14" s="58">
        <v>72.82</v>
      </c>
      <c r="F14" s="58">
        <v>1.204</v>
      </c>
      <c r="G14" s="58">
        <v>381.1</v>
      </c>
      <c r="H14" s="58">
        <v>0.0</v>
      </c>
      <c r="I14" s="58">
        <v>0.0</v>
      </c>
      <c r="J14" s="59">
        <v>43.21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6"/>
      <c r="B15" s="7" t="s">
        <v>98</v>
      </c>
      <c r="C15" s="66">
        <v>61.0</v>
      </c>
      <c r="D15" s="56">
        <v>90.98</v>
      </c>
      <c r="E15" s="56">
        <v>76.47</v>
      </c>
      <c r="F15" s="56">
        <v>1.204</v>
      </c>
      <c r="G15" s="56">
        <v>381.2</v>
      </c>
      <c r="H15" s="56">
        <v>0.003766</v>
      </c>
      <c r="I15" s="56" t="s">
        <v>89</v>
      </c>
      <c r="J15" s="61">
        <v>43.21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6"/>
      <c r="B16" s="7" t="s">
        <v>99</v>
      </c>
      <c r="C16" s="66">
        <v>62.0</v>
      </c>
      <c r="D16" s="56">
        <v>90.98</v>
      </c>
      <c r="E16" s="56">
        <v>76.47</v>
      </c>
      <c r="F16" s="56">
        <v>1.204</v>
      </c>
      <c r="G16" s="56">
        <v>381.2</v>
      </c>
      <c r="H16" s="56">
        <v>0.004395</v>
      </c>
      <c r="I16" s="56" t="s">
        <v>89</v>
      </c>
      <c r="J16" s="61">
        <v>43.21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6"/>
      <c r="B17" s="7" t="s">
        <v>100</v>
      </c>
      <c r="C17" s="66">
        <v>63.0</v>
      </c>
      <c r="D17" s="56">
        <v>88.98</v>
      </c>
      <c r="E17" s="56">
        <v>67.5</v>
      </c>
      <c r="F17" s="56">
        <v>1.812</v>
      </c>
      <c r="G17" s="56">
        <v>601.3</v>
      </c>
      <c r="H17" s="56">
        <v>207.9</v>
      </c>
      <c r="I17" s="56">
        <v>0.1</v>
      </c>
      <c r="J17" s="61">
        <v>48.01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6"/>
      <c r="B18" s="7" t="s">
        <v>101</v>
      </c>
      <c r="C18" s="66">
        <v>64.0</v>
      </c>
      <c r="D18" s="56">
        <v>88.98</v>
      </c>
      <c r="E18" s="56">
        <v>67.5</v>
      </c>
      <c r="F18" s="56">
        <v>7.491</v>
      </c>
      <c r="G18" s="56">
        <v>2658.0</v>
      </c>
      <c r="H18" s="56">
        <v>1943.0</v>
      </c>
      <c r="I18" s="56">
        <v>1.0</v>
      </c>
      <c r="J18" s="61">
        <v>0.0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9"/>
      <c r="B19" s="10" t="s">
        <v>102</v>
      </c>
      <c r="C19" s="62">
        <v>65.0</v>
      </c>
      <c r="D19" s="63">
        <v>88.98</v>
      </c>
      <c r="E19" s="63">
        <v>67.5</v>
      </c>
      <c r="F19" s="63">
        <v>1.181</v>
      </c>
      <c r="G19" s="63">
        <v>372.7</v>
      </c>
      <c r="H19" s="63">
        <v>-2159.0</v>
      </c>
      <c r="I19" s="63">
        <v>0.0</v>
      </c>
      <c r="J19" s="64">
        <v>0.0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3" t="s">
        <v>105</v>
      </c>
      <c r="B20" s="4" t="s">
        <v>88</v>
      </c>
      <c r="C20" s="65">
        <v>70.0</v>
      </c>
      <c r="D20" s="58">
        <v>88.98</v>
      </c>
      <c r="E20" s="58">
        <v>67.5</v>
      </c>
      <c r="F20" s="58">
        <v>1.181</v>
      </c>
      <c r="G20" s="58">
        <v>372.7</v>
      </c>
      <c r="H20" s="58">
        <v>0.0</v>
      </c>
      <c r="I20" s="58">
        <v>0.0</v>
      </c>
      <c r="J20" s="59">
        <v>48.01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6"/>
      <c r="B21" s="7" t="s">
        <v>98</v>
      </c>
      <c r="C21" s="66">
        <v>71.0</v>
      </c>
      <c r="D21" s="56">
        <v>88.98</v>
      </c>
      <c r="E21" s="56">
        <v>70.87</v>
      </c>
      <c r="F21" s="56">
        <v>1.181</v>
      </c>
      <c r="G21" s="56">
        <v>372.7</v>
      </c>
      <c r="H21" s="56">
        <v>0.003486</v>
      </c>
      <c r="I21" s="56" t="s">
        <v>89</v>
      </c>
      <c r="J21" s="61">
        <v>48.01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6"/>
      <c r="B22" s="7" t="s">
        <v>99</v>
      </c>
      <c r="C22" s="66">
        <v>72.0</v>
      </c>
      <c r="D22" s="56">
        <v>88.98</v>
      </c>
      <c r="E22" s="56">
        <v>70.87</v>
      </c>
      <c r="F22" s="56">
        <v>1.181</v>
      </c>
      <c r="G22" s="56">
        <v>372.7</v>
      </c>
      <c r="H22" s="56">
        <v>0.004067</v>
      </c>
      <c r="I22" s="56" t="s">
        <v>89</v>
      </c>
      <c r="J22" s="61">
        <v>48.01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6"/>
      <c r="B23" s="7" t="s">
        <v>100</v>
      </c>
      <c r="C23" s="66">
        <v>73.0</v>
      </c>
      <c r="D23" s="56">
        <v>86.98</v>
      </c>
      <c r="E23" s="56">
        <v>62.5</v>
      </c>
      <c r="F23" s="56">
        <v>1.794</v>
      </c>
      <c r="G23" s="56">
        <v>593.4</v>
      </c>
      <c r="H23" s="56">
        <v>208.4</v>
      </c>
      <c r="I23" s="56">
        <v>0.1</v>
      </c>
      <c r="J23" s="61">
        <v>53.35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6"/>
      <c r="B24" s="7" t="s">
        <v>101</v>
      </c>
      <c r="C24" s="66">
        <v>74.0</v>
      </c>
      <c r="D24" s="56">
        <v>86.98</v>
      </c>
      <c r="E24" s="56">
        <v>62.5</v>
      </c>
      <c r="F24" s="56">
        <v>7.517</v>
      </c>
      <c r="G24" s="56">
        <v>2655.0</v>
      </c>
      <c r="H24" s="56">
        <v>1947.0</v>
      </c>
      <c r="I24" s="56">
        <v>1.0</v>
      </c>
      <c r="J24" s="61">
        <v>0.0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9"/>
      <c r="B25" s="10" t="s">
        <v>102</v>
      </c>
      <c r="C25" s="62">
        <v>75.0</v>
      </c>
      <c r="D25" s="63">
        <v>86.98</v>
      </c>
      <c r="E25" s="63">
        <v>62.5</v>
      </c>
      <c r="F25" s="63">
        <v>1.158</v>
      </c>
      <c r="G25" s="63">
        <v>364.3</v>
      </c>
      <c r="H25" s="63">
        <v>-2163.0</v>
      </c>
      <c r="I25" s="63">
        <v>0.0</v>
      </c>
      <c r="J25" s="64">
        <v>0.0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3" t="s">
        <v>106</v>
      </c>
      <c r="B26" s="4" t="s">
        <v>88</v>
      </c>
      <c r="C26" s="65">
        <v>80.0</v>
      </c>
      <c r="D26" s="58">
        <v>86.98</v>
      </c>
      <c r="E26" s="58">
        <v>62.5</v>
      </c>
      <c r="F26" s="58">
        <v>1.158</v>
      </c>
      <c r="G26" s="58">
        <v>364.3</v>
      </c>
      <c r="H26" s="58">
        <v>0.0</v>
      </c>
      <c r="I26" s="58">
        <v>0.0</v>
      </c>
      <c r="J26" s="59">
        <v>53.35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6"/>
      <c r="B27" s="7" t="s">
        <v>98</v>
      </c>
      <c r="C27" s="66">
        <v>81.0</v>
      </c>
      <c r="D27" s="56">
        <v>86.98</v>
      </c>
      <c r="E27" s="56">
        <v>65.63</v>
      </c>
      <c r="F27" s="56">
        <v>1.158</v>
      </c>
      <c r="G27" s="56">
        <v>364.3</v>
      </c>
      <c r="H27" s="56">
        <v>0.003222</v>
      </c>
      <c r="I27" s="56" t="s">
        <v>89</v>
      </c>
      <c r="J27" s="61">
        <v>53.35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6"/>
      <c r="B28" s="7" t="s">
        <v>99</v>
      </c>
      <c r="C28" s="66">
        <v>82.0</v>
      </c>
      <c r="D28" s="56">
        <v>86.98</v>
      </c>
      <c r="E28" s="56">
        <v>65.63</v>
      </c>
      <c r="F28" s="56">
        <v>1.158</v>
      </c>
      <c r="G28" s="56">
        <v>364.3</v>
      </c>
      <c r="H28" s="56">
        <v>0.00376</v>
      </c>
      <c r="I28" s="56" t="s">
        <v>89</v>
      </c>
      <c r="J28" s="61">
        <v>53.35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6"/>
      <c r="B29" s="7" t="s">
        <v>100</v>
      </c>
      <c r="C29" s="66">
        <v>83.0</v>
      </c>
      <c r="D29" s="56">
        <v>84.98</v>
      </c>
      <c r="E29" s="56">
        <v>57.82</v>
      </c>
      <c r="F29" s="56">
        <v>1.775</v>
      </c>
      <c r="G29" s="56">
        <v>585.5</v>
      </c>
      <c r="H29" s="56">
        <v>208.8</v>
      </c>
      <c r="I29" s="56">
        <v>0.1</v>
      </c>
      <c r="J29" s="61">
        <v>59.27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6"/>
      <c r="B30" s="7" t="s">
        <v>101</v>
      </c>
      <c r="C30" s="66">
        <v>84.0</v>
      </c>
      <c r="D30" s="56">
        <v>84.98</v>
      </c>
      <c r="E30" s="56">
        <v>57.82</v>
      </c>
      <c r="F30" s="56">
        <v>7.544</v>
      </c>
      <c r="G30" s="56">
        <v>2651.0</v>
      </c>
      <c r="H30" s="56">
        <v>1950.0</v>
      </c>
      <c r="I30" s="56">
        <v>1.0</v>
      </c>
      <c r="J30" s="61">
        <v>0.0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9"/>
      <c r="B31" s="10" t="s">
        <v>102</v>
      </c>
      <c r="C31" s="62">
        <v>85.0</v>
      </c>
      <c r="D31" s="63">
        <v>84.98</v>
      </c>
      <c r="E31" s="63">
        <v>57.82</v>
      </c>
      <c r="F31" s="63">
        <v>1.134</v>
      </c>
      <c r="G31" s="63">
        <v>355.9</v>
      </c>
      <c r="H31" s="63">
        <v>-2167.0</v>
      </c>
      <c r="I31" s="63">
        <v>0.0</v>
      </c>
      <c r="J31" s="64">
        <v>0.0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3" t="s">
        <v>107</v>
      </c>
      <c r="B32" s="4" t="s">
        <v>88</v>
      </c>
      <c r="C32" s="65">
        <v>90.0</v>
      </c>
      <c r="D32" s="58">
        <v>84.98</v>
      </c>
      <c r="E32" s="58">
        <v>57.82</v>
      </c>
      <c r="F32" s="58">
        <v>1.134</v>
      </c>
      <c r="G32" s="58">
        <v>355.9</v>
      </c>
      <c r="H32" s="58">
        <v>0.0</v>
      </c>
      <c r="I32" s="58">
        <v>0.0</v>
      </c>
      <c r="J32" s="59">
        <v>59.27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6"/>
      <c r="B33" s="7" t="s">
        <v>98</v>
      </c>
      <c r="C33" s="66">
        <v>91.0</v>
      </c>
      <c r="D33" s="56">
        <v>84.98</v>
      </c>
      <c r="E33" s="56">
        <v>60.71</v>
      </c>
      <c r="F33" s="56">
        <v>1.134</v>
      </c>
      <c r="G33" s="56">
        <v>355.9</v>
      </c>
      <c r="H33" s="56">
        <v>0.002976</v>
      </c>
      <c r="I33" s="56" t="s">
        <v>89</v>
      </c>
      <c r="J33" s="61">
        <v>59.27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6"/>
      <c r="B34" s="7" t="s">
        <v>99</v>
      </c>
      <c r="C34" s="66">
        <v>92.0</v>
      </c>
      <c r="D34" s="56">
        <v>84.98</v>
      </c>
      <c r="E34" s="56">
        <v>60.71</v>
      </c>
      <c r="F34" s="56">
        <v>1.134</v>
      </c>
      <c r="G34" s="56">
        <v>355.9</v>
      </c>
      <c r="H34" s="56">
        <v>0.003473</v>
      </c>
      <c r="I34" s="56" t="s">
        <v>89</v>
      </c>
      <c r="J34" s="61">
        <v>59.27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6"/>
      <c r="B35" s="7" t="s">
        <v>100</v>
      </c>
      <c r="C35" s="66">
        <v>93.0</v>
      </c>
      <c r="D35" s="56">
        <v>82.98</v>
      </c>
      <c r="E35" s="56">
        <v>53.43</v>
      </c>
      <c r="F35" s="56">
        <v>1.757</v>
      </c>
      <c r="G35" s="56">
        <v>577.6</v>
      </c>
      <c r="H35" s="56">
        <v>209.2</v>
      </c>
      <c r="I35" s="56">
        <v>0.1</v>
      </c>
      <c r="J35" s="61">
        <v>65.86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6"/>
      <c r="B36" s="7" t="s">
        <v>101</v>
      </c>
      <c r="C36" s="66">
        <v>94.0</v>
      </c>
      <c r="D36" s="56">
        <v>82.98</v>
      </c>
      <c r="E36" s="56">
        <v>53.43</v>
      </c>
      <c r="F36" s="56">
        <v>7.57</v>
      </c>
      <c r="G36" s="56">
        <v>2648.0</v>
      </c>
      <c r="H36" s="56">
        <v>1954.0</v>
      </c>
      <c r="I36" s="56">
        <v>1.0</v>
      </c>
      <c r="J36" s="61">
        <v>0.0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9"/>
      <c r="B37" s="10" t="s">
        <v>102</v>
      </c>
      <c r="C37" s="62">
        <v>95.0</v>
      </c>
      <c r="D37" s="63">
        <v>82.98</v>
      </c>
      <c r="E37" s="63">
        <v>53.43</v>
      </c>
      <c r="F37" s="63">
        <v>1.111</v>
      </c>
      <c r="G37" s="63">
        <v>347.5</v>
      </c>
      <c r="H37" s="63">
        <v>-2171.0</v>
      </c>
      <c r="I37" s="63">
        <v>0.0</v>
      </c>
      <c r="J37" s="64">
        <v>0.0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3" t="s">
        <v>108</v>
      </c>
      <c r="B38" s="4" t="s">
        <v>88</v>
      </c>
      <c r="C38" s="4">
        <v>100.0</v>
      </c>
      <c r="D38" s="4">
        <v>82.98</v>
      </c>
      <c r="E38" s="4">
        <v>53.43</v>
      </c>
      <c r="F38" s="4">
        <v>1.111</v>
      </c>
      <c r="G38" s="4">
        <v>347.5</v>
      </c>
      <c r="H38" s="4">
        <v>0.0</v>
      </c>
      <c r="I38" s="4">
        <v>0.0</v>
      </c>
      <c r="J38" s="5">
        <v>65.86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6"/>
      <c r="B39" s="7" t="s">
        <v>98</v>
      </c>
      <c r="C39" s="7">
        <v>101.0</v>
      </c>
      <c r="D39" s="7">
        <v>82.98</v>
      </c>
      <c r="E39" s="7">
        <v>56.11</v>
      </c>
      <c r="F39" s="7">
        <v>1.111</v>
      </c>
      <c r="G39" s="7">
        <v>347.5</v>
      </c>
      <c r="H39" s="7">
        <v>0.002746</v>
      </c>
      <c r="I39" s="2"/>
      <c r="J39" s="8">
        <v>65.86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6"/>
      <c r="B40" s="7" t="s">
        <v>99</v>
      </c>
      <c r="C40" s="7">
        <v>102.0</v>
      </c>
      <c r="D40" s="7">
        <v>82.98</v>
      </c>
      <c r="E40" s="7">
        <v>56.11</v>
      </c>
      <c r="F40" s="7">
        <v>1.111</v>
      </c>
      <c r="G40" s="7">
        <v>347.5</v>
      </c>
      <c r="H40" s="7">
        <v>0.003204</v>
      </c>
      <c r="I40" s="2"/>
      <c r="J40" s="8">
        <v>65.86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6"/>
      <c r="B41" s="7" t="s">
        <v>100</v>
      </c>
      <c r="C41" s="7">
        <v>103.0</v>
      </c>
      <c r="D41" s="7">
        <v>80.98</v>
      </c>
      <c r="E41" s="7">
        <v>49.33</v>
      </c>
      <c r="F41" s="7">
        <v>1.738</v>
      </c>
      <c r="G41" s="7">
        <v>569.7</v>
      </c>
      <c r="H41" s="7">
        <v>209.6</v>
      </c>
      <c r="I41" s="7">
        <v>0.1</v>
      </c>
      <c r="J41" s="8">
        <v>73.18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6"/>
      <c r="B42" s="7" t="s">
        <v>101</v>
      </c>
      <c r="C42" s="7">
        <v>104.0</v>
      </c>
      <c r="D42" s="7">
        <v>80.98</v>
      </c>
      <c r="E42" s="7">
        <v>49.33</v>
      </c>
      <c r="F42" s="7">
        <v>7.598</v>
      </c>
      <c r="G42" s="7">
        <v>2645.0</v>
      </c>
      <c r="H42" s="7">
        <v>1958.0</v>
      </c>
      <c r="I42" s="7">
        <v>1.0</v>
      </c>
      <c r="J42" s="8">
        <v>0.0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9"/>
      <c r="B43" s="10" t="s">
        <v>102</v>
      </c>
      <c r="C43" s="10">
        <v>105.0</v>
      </c>
      <c r="D43" s="10">
        <v>80.98</v>
      </c>
      <c r="E43" s="10">
        <v>49.33</v>
      </c>
      <c r="F43" s="10">
        <v>1.087</v>
      </c>
      <c r="G43" s="10">
        <v>339.1</v>
      </c>
      <c r="H43" s="10">
        <v>-2175.0</v>
      </c>
      <c r="I43" s="10">
        <v>0.0</v>
      </c>
      <c r="J43" s="11">
        <v>0.0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3" t="s">
        <v>109</v>
      </c>
      <c r="B44" s="4" t="s">
        <v>88</v>
      </c>
      <c r="C44" s="4">
        <v>110.0</v>
      </c>
      <c r="D44" s="4">
        <v>80.98</v>
      </c>
      <c r="E44" s="4">
        <v>49.33</v>
      </c>
      <c r="F44" s="4">
        <v>1.087</v>
      </c>
      <c r="G44" s="4">
        <v>339.1</v>
      </c>
      <c r="H44" s="67"/>
      <c r="I44" s="4">
        <v>0.0</v>
      </c>
      <c r="J44" s="5">
        <v>73.18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6"/>
      <c r="B45" s="7" t="s">
        <v>98</v>
      </c>
      <c r="C45" s="7">
        <v>111.0</v>
      </c>
      <c r="D45" s="7">
        <v>80.98</v>
      </c>
      <c r="E45" s="7">
        <v>51.8</v>
      </c>
      <c r="F45" s="7">
        <v>1.087</v>
      </c>
      <c r="G45" s="7">
        <v>339.1</v>
      </c>
      <c r="H45" s="7">
        <v>0.002531</v>
      </c>
      <c r="I45" s="7" t="s">
        <v>89</v>
      </c>
      <c r="J45" s="8">
        <v>73.18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6"/>
      <c r="B46" s="7" t="s">
        <v>99</v>
      </c>
      <c r="C46" s="7">
        <v>112.0</v>
      </c>
      <c r="D46" s="7">
        <v>80.98</v>
      </c>
      <c r="E46" s="7">
        <v>51.8</v>
      </c>
      <c r="F46" s="7">
        <v>1.087</v>
      </c>
      <c r="G46" s="7">
        <v>339.1</v>
      </c>
      <c r="H46" s="7">
        <v>0.002953</v>
      </c>
      <c r="I46" s="7" t="s">
        <v>89</v>
      </c>
      <c r="J46" s="8">
        <v>73.18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6"/>
      <c r="B47" s="7" t="s">
        <v>100</v>
      </c>
      <c r="C47" s="7">
        <v>113.0</v>
      </c>
      <c r="D47" s="7">
        <v>78.98</v>
      </c>
      <c r="E47" s="7">
        <v>45.49</v>
      </c>
      <c r="F47" s="7">
        <v>1.72</v>
      </c>
      <c r="G47" s="7">
        <v>561.8</v>
      </c>
      <c r="H47" s="7">
        <v>210.0</v>
      </c>
      <c r="I47" s="7">
        <v>0.1</v>
      </c>
      <c r="J47" s="8">
        <v>81.31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6"/>
      <c r="B48" s="7" t="s">
        <v>101</v>
      </c>
      <c r="C48" s="7">
        <v>114.0</v>
      </c>
      <c r="D48" s="7">
        <v>78.98</v>
      </c>
      <c r="E48" s="7">
        <v>45.49</v>
      </c>
      <c r="F48" s="7">
        <v>7.625</v>
      </c>
      <c r="G48" s="7">
        <v>2641.0</v>
      </c>
      <c r="H48" s="7">
        <v>1961.0</v>
      </c>
      <c r="I48" s="7">
        <v>1.0</v>
      </c>
      <c r="J48" s="8">
        <v>0.0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9"/>
      <c r="B49" s="10" t="s">
        <v>102</v>
      </c>
      <c r="C49" s="10">
        <v>115.0</v>
      </c>
      <c r="D49" s="10">
        <v>78.98</v>
      </c>
      <c r="E49" s="10">
        <v>45.49</v>
      </c>
      <c r="F49" s="10">
        <v>1.063</v>
      </c>
      <c r="G49" s="10">
        <v>330.7</v>
      </c>
      <c r="H49" s="10">
        <v>-2179.0</v>
      </c>
      <c r="I49" s="10">
        <v>0.0</v>
      </c>
      <c r="J49" s="11">
        <v>0.0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3" t="s">
        <v>110</v>
      </c>
      <c r="B50" s="4" t="s">
        <v>111</v>
      </c>
      <c r="C50" s="4">
        <v>120.0</v>
      </c>
      <c r="D50" s="4">
        <v>25.76</v>
      </c>
      <c r="E50" s="4">
        <v>101.3</v>
      </c>
      <c r="F50" s="4">
        <v>0.3779</v>
      </c>
      <c r="G50" s="4">
        <v>108.1</v>
      </c>
      <c r="H50" s="4" t="s">
        <v>89</v>
      </c>
      <c r="I50" s="4">
        <v>0.0</v>
      </c>
      <c r="J50" s="5">
        <v>0.0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6"/>
      <c r="B51" s="7" t="s">
        <v>112</v>
      </c>
      <c r="C51" s="7">
        <v>121.0</v>
      </c>
      <c r="D51" s="7">
        <v>32.16</v>
      </c>
      <c r="E51" s="7">
        <v>101.3</v>
      </c>
      <c r="F51" s="7">
        <v>0.4664</v>
      </c>
      <c r="G51" s="7">
        <v>134.8</v>
      </c>
      <c r="H51" s="7" t="s">
        <v>89</v>
      </c>
      <c r="I51" s="7">
        <v>0.0</v>
      </c>
      <c r="J51" s="8">
        <v>0.0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6"/>
      <c r="B52" s="7" t="s">
        <v>113</v>
      </c>
      <c r="C52" s="7">
        <v>122.0</v>
      </c>
      <c r="D52" s="7">
        <v>39.25</v>
      </c>
      <c r="E52" s="7">
        <v>101.3</v>
      </c>
      <c r="F52" s="7">
        <v>0.5623</v>
      </c>
      <c r="G52" s="7">
        <v>164.5</v>
      </c>
      <c r="H52" s="7" t="s">
        <v>89</v>
      </c>
      <c r="I52" s="7">
        <v>0.0</v>
      </c>
      <c r="J52" s="8">
        <v>0.0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6"/>
      <c r="B53" s="7" t="s">
        <v>114</v>
      </c>
      <c r="C53" s="7">
        <v>123.0</v>
      </c>
      <c r="D53" s="7">
        <v>47.11</v>
      </c>
      <c r="E53" s="7">
        <v>101.3</v>
      </c>
      <c r="F53" s="7">
        <v>0.6662</v>
      </c>
      <c r="G53" s="7">
        <v>197.3</v>
      </c>
      <c r="H53" s="7" t="s">
        <v>89</v>
      </c>
      <c r="I53" s="7">
        <v>0.0</v>
      </c>
      <c r="J53" s="8">
        <v>0.0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6"/>
      <c r="B54" s="7" t="s">
        <v>115</v>
      </c>
      <c r="C54" s="7">
        <v>124.0</v>
      </c>
      <c r="D54" s="7">
        <v>55.82</v>
      </c>
      <c r="E54" s="7">
        <v>101.3</v>
      </c>
      <c r="F54" s="7">
        <v>0.7784</v>
      </c>
      <c r="G54" s="7">
        <v>233.8</v>
      </c>
      <c r="H54" s="7" t="s">
        <v>89</v>
      </c>
      <c r="I54" s="7">
        <v>0.0</v>
      </c>
      <c r="J54" s="8">
        <v>0.0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6"/>
      <c r="B55" s="7" t="s">
        <v>116</v>
      </c>
      <c r="C55" s="7">
        <v>125.0</v>
      </c>
      <c r="D55" s="7">
        <v>65.47</v>
      </c>
      <c r="E55" s="7">
        <v>101.3</v>
      </c>
      <c r="F55" s="7">
        <v>0.8994</v>
      </c>
      <c r="G55" s="7">
        <v>274.1</v>
      </c>
      <c r="H55" s="7" t="s">
        <v>89</v>
      </c>
      <c r="I55" s="7">
        <v>0.0</v>
      </c>
      <c r="J55" s="8">
        <v>0.0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6"/>
      <c r="B56" s="7" t="s">
        <v>117</v>
      </c>
      <c r="C56" s="7">
        <v>126.0</v>
      </c>
      <c r="D56" s="7">
        <v>76.15</v>
      </c>
      <c r="E56" s="7">
        <v>101.3</v>
      </c>
      <c r="F56" s="7">
        <v>1.03</v>
      </c>
      <c r="G56" s="7">
        <v>318.9</v>
      </c>
      <c r="H56" s="7" t="s">
        <v>89</v>
      </c>
      <c r="I56" s="7">
        <v>0.0</v>
      </c>
      <c r="J56" s="8">
        <v>0.0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9"/>
      <c r="B57" s="10" t="s">
        <v>118</v>
      </c>
      <c r="C57" s="10">
        <v>127.0</v>
      </c>
      <c r="D57" s="10">
        <v>87.97</v>
      </c>
      <c r="E57" s="10">
        <v>101.3</v>
      </c>
      <c r="F57" s="10">
        <v>0.3779</v>
      </c>
      <c r="G57" s="10">
        <v>368.5</v>
      </c>
      <c r="H57" s="10" t="s">
        <v>89</v>
      </c>
      <c r="I57" s="10">
        <v>0.0</v>
      </c>
      <c r="J57" s="11">
        <v>0.0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68" t="s">
        <v>119</v>
      </c>
      <c r="B58" s="69" t="s">
        <v>120</v>
      </c>
      <c r="C58" s="69">
        <v>130.0</v>
      </c>
      <c r="D58" s="69">
        <v>78.98</v>
      </c>
      <c r="E58" s="69">
        <v>45.49</v>
      </c>
      <c r="F58" s="69">
        <v>1.72</v>
      </c>
      <c r="G58" s="69">
        <v>561.8</v>
      </c>
      <c r="H58" s="69" t="s">
        <v>89</v>
      </c>
      <c r="I58" s="69">
        <v>0.0</v>
      </c>
      <c r="J58" s="70">
        <v>81.31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</sheetData>
  <mergeCells count="9">
    <mergeCell ref="A44:A49"/>
    <mergeCell ref="A50:A57"/>
    <mergeCell ref="A2:A7"/>
    <mergeCell ref="A8:A13"/>
    <mergeCell ref="A14:A19"/>
    <mergeCell ref="A20:A25"/>
    <mergeCell ref="A26:A31"/>
    <mergeCell ref="A32:A37"/>
    <mergeCell ref="A38:A43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5"/>
    <col customWidth="1" min="3" max="3" width="22.5"/>
    <col customWidth="1" min="4" max="4" width="29.0"/>
  </cols>
  <sheetData>
    <row r="1">
      <c r="A1" s="71" t="s">
        <v>121</v>
      </c>
      <c r="B1" s="71" t="s">
        <v>122</v>
      </c>
      <c r="C1" s="71" t="s">
        <v>123</v>
      </c>
      <c r="D1" s="22"/>
      <c r="E1" s="54"/>
      <c r="F1" s="54"/>
      <c r="G1" s="54"/>
      <c r="H1" s="54"/>
      <c r="I1" s="54"/>
      <c r="J1" s="54"/>
      <c r="K1" s="54"/>
      <c r="L1" s="54"/>
      <c r="M1" s="54"/>
    </row>
    <row r="2">
      <c r="A2" s="72">
        <v>1.0</v>
      </c>
      <c r="B2" s="72">
        <v>12942.0</v>
      </c>
      <c r="C2" s="73">
        <v>1438.0</v>
      </c>
      <c r="D2" s="74"/>
      <c r="E2" s="54"/>
      <c r="F2" s="54"/>
      <c r="G2" s="54"/>
      <c r="H2" s="54"/>
      <c r="I2" s="54"/>
      <c r="J2" s="54"/>
      <c r="K2" s="54"/>
      <c r="L2" s="54"/>
      <c r="M2" s="54"/>
    </row>
    <row r="3">
      <c r="A3" s="75">
        <v>2.0</v>
      </c>
      <c r="B3" s="75">
        <v>11648.0</v>
      </c>
      <c r="C3" s="76">
        <v>1294.0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>
      <c r="A4" s="75">
        <v>3.0</v>
      </c>
      <c r="B4" s="75">
        <v>10483.0</v>
      </c>
      <c r="C4" s="76">
        <v>1165.0</v>
      </c>
      <c r="D4" s="54"/>
      <c r="E4" s="54"/>
      <c r="F4" s="54"/>
      <c r="G4" s="54"/>
      <c r="H4" s="54"/>
      <c r="I4" s="54"/>
      <c r="J4" s="54"/>
      <c r="K4" s="54"/>
      <c r="L4" s="54"/>
      <c r="M4" s="54"/>
    </row>
    <row r="5">
      <c r="A5" s="75">
        <v>4.0</v>
      </c>
      <c r="B5" s="75">
        <v>9435.0</v>
      </c>
      <c r="C5" s="76">
        <v>1048.0</v>
      </c>
      <c r="D5" s="54"/>
      <c r="E5" s="54"/>
      <c r="F5" s="54"/>
      <c r="G5" s="54"/>
      <c r="H5" s="54"/>
      <c r="I5" s="54"/>
      <c r="J5" s="54"/>
      <c r="K5" s="54"/>
      <c r="L5" s="54"/>
      <c r="M5" s="54"/>
    </row>
    <row r="6">
      <c r="A6" s="75">
        <v>5.0</v>
      </c>
      <c r="B6" s="75">
        <v>8491.0</v>
      </c>
      <c r="C6" s="76">
        <v>943.5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>
      <c r="A7" s="75">
        <v>6.0</v>
      </c>
      <c r="B7" s="75">
        <v>7642.0</v>
      </c>
      <c r="C7" s="76">
        <v>849.1</v>
      </c>
      <c r="D7" s="54"/>
      <c r="E7" s="54"/>
      <c r="F7" s="54"/>
      <c r="G7" s="54"/>
      <c r="H7" s="54"/>
      <c r="I7" s="54"/>
      <c r="J7" s="54"/>
      <c r="K7" s="54"/>
      <c r="L7" s="54"/>
      <c r="M7" s="54"/>
    </row>
    <row r="8">
      <c r="A8" s="75">
        <v>7.0</v>
      </c>
      <c r="B8" s="75">
        <v>6878.0</v>
      </c>
      <c r="C8" s="76">
        <v>764.2</v>
      </c>
      <c r="D8" s="54"/>
      <c r="E8" s="54"/>
      <c r="F8" s="54"/>
      <c r="G8" s="54"/>
      <c r="H8" s="54"/>
      <c r="I8" s="54"/>
      <c r="J8" s="54"/>
      <c r="K8" s="54"/>
      <c r="L8" s="54"/>
      <c r="M8" s="54"/>
    </row>
    <row r="9">
      <c r="A9" s="75">
        <v>8.0</v>
      </c>
      <c r="B9" s="75">
        <v>6190.0</v>
      </c>
      <c r="C9" s="76">
        <v>687.8</v>
      </c>
      <c r="D9" s="54"/>
      <c r="E9" s="54"/>
      <c r="F9" s="54"/>
      <c r="G9" s="54"/>
      <c r="H9" s="54"/>
      <c r="I9" s="54"/>
      <c r="J9" s="54"/>
      <c r="K9" s="54"/>
      <c r="L9" s="54"/>
      <c r="M9" s="54"/>
    </row>
    <row r="10">
      <c r="A10" s="77" t="s">
        <v>68</v>
      </c>
      <c r="B10" s="78">
        <v>6190.0</v>
      </c>
      <c r="C10" s="79">
        <v>8190.0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>
      <c r="A11" s="25" t="s">
        <v>124</v>
      </c>
      <c r="B11" s="54"/>
      <c r="C11" s="54"/>
      <c r="D11" s="74" t="s">
        <v>125</v>
      </c>
      <c r="E11" s="54"/>
      <c r="F11" s="54"/>
      <c r="G11" s="54"/>
      <c r="H11" s="54"/>
      <c r="I11" s="54"/>
      <c r="J11" s="54"/>
      <c r="K11" s="54"/>
      <c r="L11" s="54"/>
      <c r="M11" s="54"/>
    </row>
    <row r="12">
      <c r="A12" s="25" t="s">
        <v>126</v>
      </c>
      <c r="B12" s="54"/>
      <c r="C12" s="54"/>
      <c r="D12" s="74"/>
      <c r="E12" s="54"/>
      <c r="F12" s="54"/>
      <c r="G12" s="54"/>
      <c r="H12" s="54"/>
      <c r="I12" s="54"/>
      <c r="J12" s="54"/>
      <c r="K12" s="54"/>
      <c r="L12" s="54"/>
      <c r="M12" s="54"/>
    </row>
    <row r="13">
      <c r="A13" s="25" t="s">
        <v>127</v>
      </c>
      <c r="B13" s="25" t="s">
        <v>128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>
      <c r="A14" s="74" t="s">
        <v>129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>
      <c r="A15" s="74" t="s">
        <v>130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7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</row>
    <row r="2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7.25"/>
  </cols>
  <sheetData>
    <row r="1">
      <c r="A1" s="15" t="s">
        <v>131</v>
      </c>
      <c r="B1" s="80" t="s">
        <v>132</v>
      </c>
      <c r="C1" s="81" t="s">
        <v>83</v>
      </c>
      <c r="D1" s="15" t="s">
        <v>133</v>
      </c>
      <c r="E1" s="15" t="s">
        <v>134</v>
      </c>
      <c r="F1" s="15" t="s">
        <v>135</v>
      </c>
      <c r="G1" s="15" t="s">
        <v>136</v>
      </c>
      <c r="H1" s="82" t="s">
        <v>137</v>
      </c>
      <c r="J1" s="15" t="s">
        <v>138</v>
      </c>
      <c r="K1" s="15" t="s">
        <v>134</v>
      </c>
      <c r="L1" s="15" t="s">
        <v>135</v>
      </c>
      <c r="M1" s="15" t="s">
        <v>133</v>
      </c>
      <c r="N1" s="82" t="s">
        <v>136</v>
      </c>
      <c r="O1" s="80" t="s">
        <v>132</v>
      </c>
      <c r="P1" s="83" t="s">
        <v>83</v>
      </c>
      <c r="Q1" s="15" t="s">
        <v>137</v>
      </c>
    </row>
    <row r="2">
      <c r="A2" s="15" t="s">
        <v>139</v>
      </c>
      <c r="B2" s="15"/>
      <c r="C2" s="15"/>
      <c r="D2" s="15" t="s">
        <v>140</v>
      </c>
      <c r="E2" s="15" t="s">
        <v>140</v>
      </c>
      <c r="F2" s="15" t="s">
        <v>140</v>
      </c>
      <c r="G2" s="15" t="s">
        <v>141</v>
      </c>
      <c r="K2" s="15" t="s">
        <v>140</v>
      </c>
      <c r="L2" s="15" t="s">
        <v>140</v>
      </c>
      <c r="M2" s="15" t="s">
        <v>140</v>
      </c>
      <c r="N2" s="15" t="s">
        <v>141</v>
      </c>
    </row>
    <row r="3">
      <c r="A3" s="15">
        <v>2.0</v>
      </c>
      <c r="B3" s="15">
        <v>2.875</v>
      </c>
      <c r="C3" s="15">
        <v>3.283</v>
      </c>
      <c r="D3" s="15">
        <v>11592.0</v>
      </c>
      <c r="E3" s="15">
        <v>4990.0</v>
      </c>
      <c r="F3" s="15">
        <v>6602.0</v>
      </c>
      <c r="G3" s="15">
        <v>81.31</v>
      </c>
      <c r="H3" s="15">
        <v>0.4332</v>
      </c>
      <c r="J3" s="15">
        <v>0.01</v>
      </c>
      <c r="K3" s="15">
        <v>13269.0</v>
      </c>
      <c r="L3" s="15">
        <v>1111.0</v>
      </c>
      <c r="M3" s="15">
        <v>14380.0</v>
      </c>
      <c r="N3" s="15">
        <v>37.93</v>
      </c>
      <c r="O3" s="15">
        <v>0.4839</v>
      </c>
      <c r="P3" s="15">
        <v>0.5561</v>
      </c>
      <c r="Q3" s="15">
        <v>0.9824</v>
      </c>
    </row>
    <row r="4">
      <c r="A4" s="15">
        <v>4.0</v>
      </c>
      <c r="B4" s="15">
        <v>2.939</v>
      </c>
      <c r="C4" s="15">
        <v>3.36</v>
      </c>
      <c r="D4" s="15">
        <v>11848.0</v>
      </c>
      <c r="E4" s="15">
        <v>5100.0</v>
      </c>
      <c r="F4" s="15">
        <v>6748.0</v>
      </c>
      <c r="G4" s="15">
        <v>81.31</v>
      </c>
      <c r="H4" s="15">
        <v>0.4359</v>
      </c>
      <c r="J4" s="15">
        <v>0.02263</v>
      </c>
      <c r="K4" s="15">
        <v>11974.0</v>
      </c>
      <c r="L4" s="15">
        <v>2406.0</v>
      </c>
      <c r="M4" s="15">
        <v>14380.0</v>
      </c>
      <c r="N4" s="15">
        <v>42.03</v>
      </c>
      <c r="O4" s="15">
        <v>1.048</v>
      </c>
      <c r="P4" s="15">
        <v>1.205</v>
      </c>
      <c r="Q4" s="15">
        <v>0.8865</v>
      </c>
    </row>
    <row r="5">
      <c r="A5" s="15">
        <v>6.0</v>
      </c>
      <c r="B5" s="15">
        <v>3.005</v>
      </c>
      <c r="C5" s="15">
        <v>3.439</v>
      </c>
      <c r="D5" s="15">
        <v>12116.0</v>
      </c>
      <c r="E5" s="15">
        <v>5215.0</v>
      </c>
      <c r="F5" s="15">
        <v>6900.0</v>
      </c>
      <c r="G5" s="15">
        <v>81.31</v>
      </c>
      <c r="H5" s="15">
        <v>0.4387</v>
      </c>
      <c r="J5" s="15">
        <v>0.03526</v>
      </c>
      <c r="K5" s="15">
        <v>10790.0</v>
      </c>
      <c r="L5" s="15">
        <v>3590.0</v>
      </c>
      <c r="M5" s="15">
        <v>14380.0</v>
      </c>
      <c r="N5" s="15">
        <v>46.64</v>
      </c>
      <c r="O5" s="15">
        <v>1.563</v>
      </c>
      <c r="P5" s="15">
        <v>1.797</v>
      </c>
      <c r="Q5" s="15">
        <v>0.7989</v>
      </c>
    </row>
    <row r="6">
      <c r="A6" s="15">
        <v>8.0</v>
      </c>
      <c r="B6" s="15">
        <v>3.075</v>
      </c>
      <c r="C6" s="15">
        <v>3.522</v>
      </c>
      <c r="D6" s="15">
        <v>12395.0</v>
      </c>
      <c r="E6" s="15">
        <v>5336.0</v>
      </c>
      <c r="F6" s="15">
        <v>7059.0</v>
      </c>
      <c r="G6" s="15">
        <v>81.31</v>
      </c>
      <c r="H6" s="15">
        <v>0.4414</v>
      </c>
      <c r="J6" s="15">
        <v>0.04789</v>
      </c>
      <c r="K6" s="15">
        <v>9710.0</v>
      </c>
      <c r="L6" s="15">
        <v>4670.0</v>
      </c>
      <c r="M6" s="15">
        <v>14380.0</v>
      </c>
      <c r="N6" s="15">
        <v>51.83</v>
      </c>
      <c r="O6" s="15">
        <v>2.034</v>
      </c>
      <c r="P6" s="15">
        <v>2.337</v>
      </c>
      <c r="Q6" s="15">
        <v>0.7189</v>
      </c>
    </row>
    <row r="7">
      <c r="A7" s="15">
        <v>10.0</v>
      </c>
      <c r="B7" s="15">
        <v>3.147</v>
      </c>
      <c r="C7" s="15">
        <v>3.608</v>
      </c>
      <c r="D7" s="15">
        <v>12687.0</v>
      </c>
      <c r="E7" s="15">
        <v>5461.0</v>
      </c>
      <c r="F7" s="15">
        <v>7226.0</v>
      </c>
      <c r="G7" s="15">
        <v>81.31</v>
      </c>
      <c r="H7" s="15">
        <v>0.4442</v>
      </c>
      <c r="J7" s="15">
        <v>0.06053</v>
      </c>
      <c r="K7" s="15">
        <v>8726.0</v>
      </c>
      <c r="L7" s="15">
        <v>5654.0</v>
      </c>
      <c r="M7" s="15">
        <v>14380.0</v>
      </c>
      <c r="N7" s="15">
        <v>57.68</v>
      </c>
      <c r="O7" s="15">
        <v>2.462</v>
      </c>
      <c r="P7" s="15">
        <v>2.83</v>
      </c>
      <c r="Q7" s="15">
        <v>0.6461</v>
      </c>
    </row>
    <row r="8">
      <c r="A8" s="15">
        <v>12.0</v>
      </c>
      <c r="B8" s="15">
        <v>3.223</v>
      </c>
      <c r="C8" s="15">
        <v>3.697</v>
      </c>
      <c r="D8" s="15">
        <v>12994.0</v>
      </c>
      <c r="E8" s="15">
        <v>5593.0</v>
      </c>
      <c r="F8" s="15">
        <v>7400.0</v>
      </c>
      <c r="G8" s="15">
        <v>81.31</v>
      </c>
      <c r="H8" s="15">
        <v>0.447</v>
      </c>
      <c r="J8" s="15">
        <v>0.07316</v>
      </c>
      <c r="K8" s="15">
        <v>7831.0</v>
      </c>
      <c r="L8" s="15">
        <v>6549.0</v>
      </c>
      <c r="M8" s="15">
        <v>14380.0</v>
      </c>
      <c r="N8" s="15">
        <v>64.27</v>
      </c>
      <c r="O8" s="15">
        <v>2.852</v>
      </c>
      <c r="P8" s="15">
        <v>3.278</v>
      </c>
      <c r="Q8" s="15">
        <v>0.5798</v>
      </c>
    </row>
    <row r="9">
      <c r="A9" s="15">
        <v>14.0</v>
      </c>
      <c r="B9" s="15">
        <v>3.303</v>
      </c>
      <c r="C9" s="15">
        <v>3.791</v>
      </c>
      <c r="D9" s="15">
        <v>13315.0</v>
      </c>
      <c r="E9" s="15">
        <v>5732.0</v>
      </c>
      <c r="F9" s="15">
        <v>7583.0</v>
      </c>
      <c r="G9" s="15">
        <v>81.31</v>
      </c>
      <c r="H9" s="15">
        <v>0.4498</v>
      </c>
      <c r="J9" s="15">
        <v>0.08579</v>
      </c>
      <c r="K9" s="15">
        <v>7017.0</v>
      </c>
      <c r="L9" s="15">
        <v>7363.0</v>
      </c>
      <c r="M9" s="15">
        <v>14380.0</v>
      </c>
      <c r="N9" s="15">
        <v>71.73</v>
      </c>
      <c r="O9" s="15">
        <v>3.207</v>
      </c>
      <c r="P9" s="15">
        <v>3.686</v>
      </c>
      <c r="Q9" s="15">
        <v>0.5195</v>
      </c>
    </row>
    <row r="10">
      <c r="A10" s="15">
        <v>16.0</v>
      </c>
      <c r="B10" s="15">
        <v>3.386</v>
      </c>
      <c r="C10" s="15">
        <v>3.889</v>
      </c>
      <c r="D10" s="15">
        <v>13652.0</v>
      </c>
      <c r="E10" s="15">
        <v>5877.0</v>
      </c>
      <c r="F10" s="15">
        <v>7775.0</v>
      </c>
      <c r="G10" s="15">
        <v>81.31</v>
      </c>
      <c r="H10" s="15">
        <v>0.4526</v>
      </c>
      <c r="J10" s="15">
        <v>0.09842</v>
      </c>
      <c r="K10" s="15">
        <v>6277.0</v>
      </c>
      <c r="L10" s="15">
        <v>8102.0</v>
      </c>
      <c r="M10" s="15">
        <v>14380.0</v>
      </c>
      <c r="N10" s="15">
        <v>80.17</v>
      </c>
      <c r="O10" s="15">
        <v>3.529</v>
      </c>
      <c r="P10" s="15">
        <v>4.056</v>
      </c>
      <c r="Q10" s="15">
        <v>0.4648</v>
      </c>
    </row>
    <row r="11">
      <c r="A11" s="15">
        <v>18.0</v>
      </c>
      <c r="B11" s="15">
        <v>3.474</v>
      </c>
      <c r="C11" s="15">
        <v>3.992</v>
      </c>
      <c r="D11" s="15">
        <v>14007.0</v>
      </c>
      <c r="E11" s="15">
        <v>6029.0</v>
      </c>
      <c r="F11" s="15">
        <v>7977.0</v>
      </c>
      <c r="G11" s="15">
        <v>81.31</v>
      </c>
      <c r="H11" s="15">
        <v>0.4554</v>
      </c>
      <c r="J11" s="15">
        <v>0.1111</v>
      </c>
      <c r="K11" s="15">
        <v>5607.0</v>
      </c>
      <c r="L11" s="15">
        <v>8772.0</v>
      </c>
      <c r="M11" s="15">
        <v>14380.0</v>
      </c>
      <c r="N11" s="15">
        <v>89.76</v>
      </c>
      <c r="O11" s="15">
        <v>3.821</v>
      </c>
      <c r="P11" s="15">
        <v>4.391</v>
      </c>
      <c r="Q11" s="15">
        <v>0.4152</v>
      </c>
    </row>
    <row r="12">
      <c r="A12" s="15">
        <v>20.0</v>
      </c>
      <c r="B12" s="15">
        <v>3.567</v>
      </c>
      <c r="C12" s="15">
        <v>4.1</v>
      </c>
      <c r="D12" s="15">
        <v>14380.0</v>
      </c>
      <c r="E12" s="15">
        <v>6190.0</v>
      </c>
      <c r="F12" s="15">
        <v>8190.0</v>
      </c>
      <c r="G12" s="84">
        <v>81.31</v>
      </c>
      <c r="H12" s="15">
        <v>0.4583</v>
      </c>
      <c r="J12" s="15">
        <v>0.1237</v>
      </c>
      <c r="K12" s="15">
        <v>5001.0</v>
      </c>
      <c r="L12" s="15">
        <v>9379.0</v>
      </c>
      <c r="M12" s="15">
        <v>14380.0</v>
      </c>
      <c r="N12" s="15">
        <v>100.6</v>
      </c>
      <c r="O12" s="15">
        <v>4.085</v>
      </c>
      <c r="P12" s="15">
        <v>4.695</v>
      </c>
      <c r="Q12" s="15">
        <v>0.3703</v>
      </c>
    </row>
    <row r="13">
      <c r="A13" s="15">
        <v>22.0</v>
      </c>
      <c r="B13" s="15">
        <v>3.665</v>
      </c>
      <c r="C13" s="15">
        <v>4.213</v>
      </c>
      <c r="D13" s="15">
        <v>14774.0</v>
      </c>
      <c r="E13" s="15">
        <v>6360.0</v>
      </c>
      <c r="F13" s="15">
        <v>8414.0</v>
      </c>
      <c r="G13" s="82">
        <v>81.31</v>
      </c>
      <c r="H13" s="15">
        <v>0.4612</v>
      </c>
      <c r="J13" s="15">
        <v>0.1363</v>
      </c>
      <c r="K13" s="15">
        <v>4452.0</v>
      </c>
      <c r="L13" s="15">
        <v>9927.0</v>
      </c>
      <c r="M13" s="15">
        <v>14380.0</v>
      </c>
      <c r="N13" s="15">
        <v>113.0</v>
      </c>
      <c r="O13" s="15">
        <v>4.324</v>
      </c>
      <c r="P13" s="15">
        <v>4.969</v>
      </c>
      <c r="Q13" s="15">
        <v>0.3297</v>
      </c>
    </row>
    <row r="14">
      <c r="A14" s="15">
        <v>24.0</v>
      </c>
      <c r="B14" s="15">
        <v>3.768</v>
      </c>
      <c r="C14" s="15">
        <v>4.333</v>
      </c>
      <c r="D14" s="15">
        <v>15189.0</v>
      </c>
      <c r="E14" s="15">
        <v>6538.0</v>
      </c>
      <c r="F14" s="15">
        <v>8651.0</v>
      </c>
      <c r="G14" s="15">
        <v>81.31</v>
      </c>
      <c r="H14" s="15">
        <v>0.4641</v>
      </c>
      <c r="J14" s="15">
        <v>0.1489</v>
      </c>
      <c r="K14" s="15">
        <v>3957.0</v>
      </c>
      <c r="L14" s="15">
        <v>10423.0</v>
      </c>
      <c r="M14" s="15">
        <v>14380.0</v>
      </c>
      <c r="N14" s="15">
        <v>127.2</v>
      </c>
      <c r="O14" s="15">
        <v>4.539</v>
      </c>
      <c r="P14" s="15">
        <v>5.217</v>
      </c>
      <c r="Q14" s="15">
        <v>0.293</v>
      </c>
    </row>
    <row r="15">
      <c r="A15" s="15">
        <v>26.0</v>
      </c>
      <c r="B15" s="15">
        <v>3.877</v>
      </c>
      <c r="C15" s="15">
        <v>4.459</v>
      </c>
      <c r="D15" s="15">
        <v>15629.0</v>
      </c>
      <c r="E15" s="15">
        <v>6728.0</v>
      </c>
      <c r="F15" s="15">
        <v>8901.0</v>
      </c>
      <c r="G15" s="15">
        <v>81.31</v>
      </c>
      <c r="H15" s="15">
        <v>0.467</v>
      </c>
      <c r="J15" s="15">
        <v>0.1616</v>
      </c>
      <c r="K15" s="15">
        <v>3511.0</v>
      </c>
      <c r="L15" s="15">
        <v>10869.0</v>
      </c>
      <c r="M15" s="15">
        <v>14380.0</v>
      </c>
      <c r="N15" s="15">
        <v>143.3</v>
      </c>
      <c r="O15" s="15">
        <v>4.734</v>
      </c>
      <c r="P15" s="15">
        <v>5.44</v>
      </c>
      <c r="Q15" s="15">
        <v>0.26</v>
      </c>
    </row>
    <row r="16">
      <c r="A16" s="15">
        <v>28.0</v>
      </c>
      <c r="B16" s="15">
        <v>3.992</v>
      </c>
      <c r="C16" s="15">
        <v>4.593</v>
      </c>
      <c r="D16" s="15">
        <v>16095.0</v>
      </c>
      <c r="E16" s="15">
        <v>6928.0</v>
      </c>
      <c r="F16" s="15">
        <v>9166.0</v>
      </c>
      <c r="G16" s="15">
        <v>81.31</v>
      </c>
      <c r="H16" s="15">
        <v>0.4699</v>
      </c>
      <c r="J16" s="15">
        <v>0.1742</v>
      </c>
      <c r="K16" s="15">
        <v>3110.0</v>
      </c>
      <c r="L16" s="15">
        <v>11270.0</v>
      </c>
      <c r="M16" s="15">
        <v>14380.0</v>
      </c>
      <c r="N16" s="15">
        <v>161.9</v>
      </c>
      <c r="O16" s="15">
        <v>4.909</v>
      </c>
      <c r="P16" s="15">
        <v>5.641</v>
      </c>
      <c r="Q16" s="15">
        <v>0.2302</v>
      </c>
    </row>
    <row r="17">
      <c r="A17" s="15">
        <v>30.0</v>
      </c>
      <c r="B17" s="15">
        <v>4.115</v>
      </c>
      <c r="C17" s="15">
        <v>4.735</v>
      </c>
      <c r="D17" s="15">
        <v>16589.0</v>
      </c>
      <c r="E17" s="15">
        <v>7141.0</v>
      </c>
      <c r="F17" s="15">
        <v>9448.0</v>
      </c>
      <c r="G17" s="15">
        <v>81.31</v>
      </c>
      <c r="H17" s="15">
        <v>0.4729</v>
      </c>
      <c r="J17" s="15">
        <v>0.1868</v>
      </c>
      <c r="K17" s="15">
        <v>2749.0</v>
      </c>
      <c r="L17" s="15">
        <v>11631.0</v>
      </c>
      <c r="M17" s="15">
        <v>14380.0</v>
      </c>
      <c r="N17" s="15">
        <v>183.1</v>
      </c>
      <c r="O17" s="15">
        <v>5.066</v>
      </c>
      <c r="P17" s="15">
        <v>5.822</v>
      </c>
      <c r="Q17" s="15">
        <v>0.2035</v>
      </c>
    </row>
    <row r="18">
      <c r="A18" s="15">
        <v>32.0</v>
      </c>
      <c r="B18" s="15">
        <v>4.245</v>
      </c>
      <c r="C18" s="15">
        <v>4.886</v>
      </c>
      <c r="D18" s="15">
        <v>17115.0</v>
      </c>
      <c r="E18" s="15">
        <v>7367.0</v>
      </c>
      <c r="F18" s="15">
        <v>9747.0</v>
      </c>
      <c r="G18" s="15">
        <v>81.31</v>
      </c>
      <c r="H18" s="15">
        <v>0.4758</v>
      </c>
      <c r="J18" s="15">
        <v>0.1995</v>
      </c>
      <c r="K18" s="15">
        <v>2425.0</v>
      </c>
      <c r="L18" s="15">
        <v>11955.0</v>
      </c>
      <c r="M18" s="15">
        <v>14380.0</v>
      </c>
      <c r="N18" s="15">
        <v>207.5</v>
      </c>
      <c r="O18" s="15">
        <v>5.207</v>
      </c>
      <c r="P18" s="15">
        <v>5.984</v>
      </c>
      <c r="Q18" s="15">
        <v>0.1796</v>
      </c>
    </row>
    <row r="19">
      <c r="A19" s="15">
        <v>34.0</v>
      </c>
      <c r="B19" s="15">
        <v>4.384</v>
      </c>
      <c r="C19" s="15">
        <v>5.047</v>
      </c>
      <c r="D19" s="15">
        <v>17675.0</v>
      </c>
      <c r="E19" s="15">
        <v>7608.0</v>
      </c>
      <c r="F19" s="15">
        <v>10066.0</v>
      </c>
      <c r="G19" s="15">
        <v>81.31</v>
      </c>
      <c r="H19" s="15">
        <v>0.4788</v>
      </c>
      <c r="J19" s="15">
        <v>0.2121</v>
      </c>
      <c r="K19" s="15">
        <v>2136.0</v>
      </c>
      <c r="L19" s="15">
        <v>12244.0</v>
      </c>
      <c r="M19" s="15">
        <v>14380.0</v>
      </c>
      <c r="N19" s="15">
        <v>235.7</v>
      </c>
      <c r="O19" s="15">
        <v>5.333</v>
      </c>
      <c r="P19" s="15">
        <v>6.129</v>
      </c>
      <c r="Q19" s="15">
        <v>0.1581</v>
      </c>
    </row>
    <row r="20">
      <c r="A20" s="15">
        <v>36.0</v>
      </c>
      <c r="B20" s="15">
        <v>4.533</v>
      </c>
      <c r="C20" s="15">
        <v>5.218</v>
      </c>
      <c r="D20" s="15">
        <v>18273.0</v>
      </c>
      <c r="E20" s="15">
        <v>7866.0</v>
      </c>
      <c r="F20" s="15">
        <v>10407.0</v>
      </c>
      <c r="G20" s="15">
        <v>81.31</v>
      </c>
      <c r="H20" s="15">
        <v>0.4818</v>
      </c>
      <c r="J20" s="15">
        <v>0.2247</v>
      </c>
      <c r="K20" s="15">
        <v>1876.0</v>
      </c>
      <c r="L20" s="15">
        <v>12503.0</v>
      </c>
      <c r="M20" s="15">
        <v>14380.0</v>
      </c>
      <c r="N20" s="15">
        <v>268.2</v>
      </c>
      <c r="O20" s="15">
        <v>5.446</v>
      </c>
      <c r="P20" s="15">
        <v>6.259</v>
      </c>
      <c r="Q20" s="15">
        <v>0.1389</v>
      </c>
    </row>
    <row r="21">
      <c r="A21" s="15">
        <v>38.0</v>
      </c>
      <c r="B21" s="15">
        <v>4.691</v>
      </c>
      <c r="C21" s="15">
        <v>5.401</v>
      </c>
      <c r="D21" s="15">
        <v>18912.0</v>
      </c>
      <c r="E21" s="15">
        <v>8141.0</v>
      </c>
      <c r="F21" s="15">
        <v>10771.0</v>
      </c>
      <c r="G21" s="15">
        <v>81.31</v>
      </c>
      <c r="H21" s="15">
        <v>0.4848</v>
      </c>
      <c r="J21" s="15">
        <v>0.2374</v>
      </c>
      <c r="K21" s="15">
        <v>1645.0</v>
      </c>
      <c r="L21" s="15">
        <v>12734.0</v>
      </c>
      <c r="M21" s="15">
        <v>14380.0</v>
      </c>
      <c r="N21" s="15">
        <v>305.9</v>
      </c>
      <c r="O21" s="15">
        <v>5.546</v>
      </c>
      <c r="P21" s="15">
        <v>6.374</v>
      </c>
      <c r="Q21" s="15">
        <v>0.1218</v>
      </c>
    </row>
    <row r="22">
      <c r="A22" s="15">
        <v>40.0</v>
      </c>
      <c r="B22" s="15">
        <v>4.862</v>
      </c>
      <c r="C22" s="15">
        <v>5.597</v>
      </c>
      <c r="D22" s="15">
        <v>19599.0</v>
      </c>
      <c r="E22" s="15">
        <v>8437.0</v>
      </c>
      <c r="F22" s="15">
        <v>11162.0</v>
      </c>
      <c r="G22" s="15">
        <v>81.31</v>
      </c>
      <c r="H22" s="15">
        <v>0.4879</v>
      </c>
      <c r="J22" s="15">
        <v>0.25</v>
      </c>
      <c r="K22" s="15">
        <v>1440.0</v>
      </c>
      <c r="L22" s="15">
        <v>12940.0</v>
      </c>
      <c r="M22" s="15">
        <v>14380.0</v>
      </c>
      <c r="N22" s="15">
        <v>349.6</v>
      </c>
      <c r="O22" s="15">
        <v>5.636</v>
      </c>
      <c r="P22" s="15">
        <v>6.477</v>
      </c>
      <c r="Q22" s="15">
        <v>0.1066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5" t="s">
        <v>142</v>
      </c>
      <c r="C1" s="85" t="s">
        <v>143</v>
      </c>
      <c r="E1" s="86"/>
      <c r="F1" s="86"/>
      <c r="G1" s="86"/>
      <c r="H1" s="86"/>
      <c r="I1" s="86"/>
    </row>
    <row r="2">
      <c r="A2" s="86"/>
      <c r="B2" s="86"/>
      <c r="C2" s="86"/>
      <c r="D2" s="86"/>
      <c r="E2" s="86"/>
      <c r="F2" s="86"/>
      <c r="G2" s="85" t="s">
        <v>144</v>
      </c>
    </row>
    <row r="3">
      <c r="A3" s="86"/>
      <c r="B3" s="86"/>
      <c r="C3" s="86"/>
      <c r="D3" s="86"/>
      <c r="E3" s="86"/>
      <c r="F3" s="86"/>
      <c r="G3" s="86"/>
      <c r="H3" s="86"/>
      <c r="I3" s="86"/>
    </row>
    <row r="4">
      <c r="A4" s="85" t="s">
        <v>145</v>
      </c>
      <c r="B4" s="87">
        <f>'MED - Key Values'!D20</f>
        <v>10263.3</v>
      </c>
      <c r="C4" s="86"/>
      <c r="D4" s="86"/>
      <c r="E4" s="86"/>
      <c r="F4" s="86"/>
      <c r="G4" s="86"/>
      <c r="H4" s="86"/>
      <c r="I4" s="86"/>
    </row>
    <row r="5">
      <c r="A5" s="88" t="s">
        <v>146</v>
      </c>
      <c r="B5" s="89">
        <v>1000.0</v>
      </c>
      <c r="C5" s="86"/>
      <c r="D5" s="86"/>
      <c r="E5" s="86"/>
      <c r="F5" s="86"/>
      <c r="G5" s="86"/>
      <c r="H5" s="86"/>
      <c r="I5" s="86"/>
    </row>
    <row r="6">
      <c r="A6" s="85" t="s">
        <v>147</v>
      </c>
      <c r="B6" s="89">
        <f>B4/B5</f>
        <v>10.2633</v>
      </c>
      <c r="C6" s="86"/>
      <c r="D6" s="86"/>
      <c r="E6" s="86"/>
      <c r="F6" s="86"/>
      <c r="G6" s="86"/>
      <c r="H6" s="86"/>
      <c r="I6" s="86"/>
    </row>
    <row r="7">
      <c r="A7" s="85" t="s">
        <v>148</v>
      </c>
      <c r="B7" s="89">
        <f>B6*86400</f>
        <v>886749.12</v>
      </c>
      <c r="C7" s="86"/>
      <c r="D7" s="86"/>
      <c r="E7" s="86"/>
      <c r="F7" s="86"/>
      <c r="G7" s="86"/>
      <c r="H7" s="86"/>
      <c r="I7" s="86"/>
    </row>
    <row r="8">
      <c r="A8" s="85" t="s">
        <v>149</v>
      </c>
      <c r="B8" s="89">
        <v>0.9</v>
      </c>
      <c r="C8" s="86"/>
      <c r="D8" s="86"/>
      <c r="E8" s="86"/>
      <c r="F8" s="86"/>
      <c r="G8" s="86"/>
      <c r="H8" s="86"/>
      <c r="I8" s="86"/>
    </row>
    <row r="9">
      <c r="A9" s="85" t="s">
        <v>150</v>
      </c>
      <c r="B9" s="89">
        <f>B7*365*B8</f>
        <v>291297085.9</v>
      </c>
      <c r="C9" s="86"/>
      <c r="D9" s="86"/>
      <c r="E9" s="86"/>
      <c r="F9" s="86"/>
      <c r="G9" s="86"/>
      <c r="H9" s="86"/>
      <c r="I9" s="86"/>
    </row>
    <row r="10">
      <c r="A10" s="85" t="s">
        <v>151</v>
      </c>
      <c r="B10" s="90">
        <f>'MED - Key Values'!B25</f>
        <v>0.002310513282</v>
      </c>
      <c r="C10" s="86"/>
      <c r="D10" s="86"/>
      <c r="E10" s="86"/>
      <c r="F10" s="86"/>
      <c r="G10" s="86"/>
      <c r="H10" s="86"/>
      <c r="I10" s="86"/>
    </row>
    <row r="11">
      <c r="A11" s="85" t="s">
        <v>152</v>
      </c>
      <c r="B11" s="89">
        <f>1/B10</f>
        <v>432.8042637</v>
      </c>
      <c r="C11" s="86"/>
      <c r="D11" s="86"/>
      <c r="E11" s="86"/>
      <c r="F11" s="86"/>
      <c r="G11" s="86"/>
      <c r="H11" s="86"/>
      <c r="I11" s="86"/>
    </row>
    <row r="12">
      <c r="A12" s="85" t="s">
        <v>153</v>
      </c>
      <c r="B12" s="89">
        <f>B11*B5/3600</f>
        <v>120.2234066</v>
      </c>
      <c r="C12" s="86"/>
      <c r="D12" s="86"/>
      <c r="E12" s="86"/>
      <c r="F12" s="86"/>
      <c r="G12" s="86"/>
      <c r="H12" s="86"/>
      <c r="I12" s="86"/>
    </row>
    <row r="13">
      <c r="A13" s="86"/>
      <c r="B13" s="86"/>
      <c r="C13" s="86"/>
      <c r="D13" s="86"/>
      <c r="E13" s="86"/>
      <c r="F13" s="86"/>
      <c r="G13" s="86"/>
      <c r="H13" s="86"/>
      <c r="I13" s="86"/>
    </row>
    <row r="14">
      <c r="A14" s="85" t="s">
        <v>154</v>
      </c>
      <c r="C14" s="86"/>
      <c r="D14" s="86"/>
      <c r="E14" s="86"/>
      <c r="F14" s="86"/>
      <c r="G14" s="86"/>
      <c r="H14" s="86"/>
      <c r="I14" s="86"/>
    </row>
    <row r="15">
      <c r="A15" s="85" t="s">
        <v>155</v>
      </c>
      <c r="B15" s="89">
        <v>25.0</v>
      </c>
      <c r="C15" s="86"/>
      <c r="D15" s="86"/>
      <c r="E15" s="86"/>
      <c r="F15" s="86"/>
      <c r="G15" s="86"/>
      <c r="H15" s="86"/>
      <c r="I15" s="86"/>
    </row>
    <row r="16">
      <c r="A16" s="85" t="s">
        <v>156</v>
      </c>
      <c r="B16" s="89">
        <v>0.07</v>
      </c>
      <c r="C16" s="86"/>
      <c r="D16" s="86"/>
      <c r="E16" s="86"/>
      <c r="F16" s="86"/>
      <c r="G16" s="86"/>
      <c r="H16" s="86"/>
      <c r="I16" s="86"/>
    </row>
    <row r="17">
      <c r="A17" s="85" t="s">
        <v>157</v>
      </c>
      <c r="B17" s="89">
        <f>B16*(1+B16)^B15/((1+B16)^B15-1)</f>
        <v>0.08581051722</v>
      </c>
      <c r="C17" s="86"/>
      <c r="D17" s="86"/>
      <c r="E17" s="86"/>
      <c r="F17" s="86"/>
      <c r="G17" s="86"/>
      <c r="H17" s="86"/>
      <c r="I17" s="86"/>
    </row>
    <row r="18">
      <c r="A18" s="85" t="s">
        <v>158</v>
      </c>
      <c r="B18" s="89">
        <f>B7</f>
        <v>886749.12</v>
      </c>
      <c r="C18" s="86"/>
      <c r="D18" s="86"/>
      <c r="E18" s="86"/>
      <c r="F18" s="86"/>
      <c r="G18" s="86"/>
      <c r="H18" s="86"/>
      <c r="I18" s="86"/>
    </row>
    <row r="19">
      <c r="A19" s="85" t="s">
        <v>159</v>
      </c>
      <c r="B19" s="89">
        <v>8.0E8</v>
      </c>
      <c r="C19" s="86"/>
      <c r="D19" s="86"/>
      <c r="E19" s="86"/>
      <c r="F19" s="86"/>
      <c r="G19" s="86"/>
      <c r="H19" s="86"/>
      <c r="I19" s="86"/>
    </row>
    <row r="20">
      <c r="A20" s="85" t="s">
        <v>160</v>
      </c>
      <c r="B20" s="89">
        <v>0.03</v>
      </c>
      <c r="C20" s="86"/>
      <c r="D20" s="86"/>
      <c r="E20" s="86"/>
      <c r="F20" s="86"/>
      <c r="G20" s="86"/>
      <c r="H20" s="86"/>
      <c r="I20" s="86"/>
    </row>
    <row r="21">
      <c r="A21" s="85" t="s">
        <v>161</v>
      </c>
      <c r="B21" s="89">
        <v>0.2</v>
      </c>
      <c r="C21" s="86"/>
      <c r="D21" s="86"/>
      <c r="E21" s="86"/>
      <c r="F21" s="86"/>
      <c r="G21" s="86"/>
      <c r="H21" s="86"/>
      <c r="I21" s="86"/>
    </row>
    <row r="22">
      <c r="A22" s="85" t="s">
        <v>162</v>
      </c>
      <c r="B22" s="89">
        <v>1.5</v>
      </c>
      <c r="C22" s="86"/>
      <c r="D22" s="86"/>
      <c r="E22" s="86"/>
      <c r="F22" s="86"/>
      <c r="G22" s="86"/>
      <c r="H22" s="86"/>
      <c r="I22" s="86"/>
    </row>
    <row r="23">
      <c r="A23" s="85" t="s">
        <v>163</v>
      </c>
      <c r="B23" s="89">
        <v>0.07</v>
      </c>
      <c r="C23" s="86"/>
      <c r="D23" s="86"/>
      <c r="E23" s="86"/>
      <c r="F23" s="86"/>
      <c r="G23" s="86"/>
      <c r="H23" s="86"/>
      <c r="I23" s="86"/>
    </row>
    <row r="24">
      <c r="A24" s="85" t="s">
        <v>164</v>
      </c>
      <c r="B24" s="89">
        <v>0.0</v>
      </c>
      <c r="C24" s="85" t="s">
        <v>165</v>
      </c>
      <c r="F24" s="86"/>
      <c r="G24" s="86"/>
      <c r="H24" s="86"/>
      <c r="I24" s="86"/>
    </row>
    <row r="25">
      <c r="A25" s="85" t="s">
        <v>166</v>
      </c>
      <c r="B25" s="89">
        <v>0.7</v>
      </c>
      <c r="C25" s="86"/>
      <c r="D25" s="86"/>
      <c r="E25" s="86"/>
      <c r="F25" s="86"/>
      <c r="G25" s="86"/>
      <c r="H25" s="86"/>
      <c r="I25" s="86"/>
    </row>
    <row r="26">
      <c r="A26" s="85" t="s">
        <v>167</v>
      </c>
      <c r="B26" s="85" t="s">
        <v>168</v>
      </c>
      <c r="G26" s="86"/>
      <c r="H26" s="86"/>
      <c r="I26" s="86"/>
    </row>
    <row r="27">
      <c r="A27" s="86"/>
      <c r="B27" s="86"/>
      <c r="C27" s="86"/>
      <c r="D27" s="86"/>
      <c r="E27" s="86"/>
      <c r="F27" s="86"/>
      <c r="G27" s="86"/>
      <c r="H27" s="86"/>
      <c r="I27" s="86"/>
    </row>
    <row r="28">
      <c r="A28" s="85" t="s">
        <v>169</v>
      </c>
      <c r="B28" s="86"/>
      <c r="C28" s="86"/>
      <c r="D28" s="86"/>
      <c r="E28" s="86"/>
      <c r="F28" s="86"/>
      <c r="G28" s="86"/>
      <c r="H28" s="86"/>
      <c r="I28" s="86"/>
    </row>
    <row r="29">
      <c r="A29" s="85" t="s">
        <v>170</v>
      </c>
      <c r="B29" s="89">
        <f>B18</f>
        <v>886749.12</v>
      </c>
      <c r="C29" s="86"/>
      <c r="D29" s="85" t="s">
        <v>171</v>
      </c>
    </row>
    <row r="30">
      <c r="A30" s="85" t="s">
        <v>172</v>
      </c>
      <c r="B30" s="89">
        <v>1200.0</v>
      </c>
      <c r="C30" s="86"/>
      <c r="D30" s="85" t="s">
        <v>173</v>
      </c>
      <c r="F30" s="86"/>
      <c r="G30" s="86"/>
      <c r="H30" s="86"/>
      <c r="I30" s="86"/>
    </row>
    <row r="31">
      <c r="A31" s="85" t="s">
        <v>174</v>
      </c>
      <c r="B31" s="89">
        <f>B29*B30</f>
        <v>1064098944</v>
      </c>
      <c r="C31" s="86"/>
      <c r="D31" s="86"/>
      <c r="E31" s="86"/>
      <c r="F31" s="86"/>
      <c r="G31" s="86"/>
      <c r="H31" s="86"/>
      <c r="I31" s="86"/>
    </row>
    <row r="32">
      <c r="A32" s="85" t="s">
        <v>175</v>
      </c>
      <c r="B32" s="89">
        <v>0.03</v>
      </c>
      <c r="C32" s="86"/>
      <c r="D32" s="86"/>
      <c r="E32" s="86"/>
      <c r="F32" s="86"/>
      <c r="G32" s="86"/>
      <c r="H32" s="86"/>
      <c r="I32" s="86"/>
    </row>
    <row r="33">
      <c r="A33" s="85" t="s">
        <v>176</v>
      </c>
      <c r="B33" s="89">
        <v>0.15</v>
      </c>
      <c r="C33" s="86"/>
      <c r="D33" s="86"/>
      <c r="E33" s="86"/>
      <c r="F33" s="86"/>
      <c r="G33" s="86"/>
      <c r="H33" s="86"/>
      <c r="I33" s="86"/>
    </row>
    <row r="34">
      <c r="A34" s="85" t="s">
        <v>177</v>
      </c>
      <c r="B34" s="89">
        <v>3.5</v>
      </c>
      <c r="C34" s="86"/>
      <c r="D34" s="86"/>
      <c r="E34" s="86"/>
      <c r="F34" s="86"/>
      <c r="G34" s="86"/>
      <c r="H34" s="86"/>
      <c r="I34" s="86"/>
    </row>
    <row r="35">
      <c r="A35" s="85" t="s">
        <v>178</v>
      </c>
      <c r="B35" s="89">
        <f>B23</f>
        <v>0.07</v>
      </c>
      <c r="C35" s="86"/>
      <c r="D35" s="86"/>
      <c r="E35" s="86"/>
      <c r="F35" s="86"/>
      <c r="G35" s="86"/>
      <c r="H35" s="86"/>
      <c r="I35" s="86"/>
    </row>
    <row r="36">
      <c r="A36" s="85" t="s">
        <v>179</v>
      </c>
      <c r="B36" s="89">
        <f>B8</f>
        <v>0.9</v>
      </c>
      <c r="C36" s="86"/>
      <c r="D36" s="86"/>
      <c r="E36" s="86"/>
      <c r="F36" s="86"/>
      <c r="G36" s="86"/>
      <c r="H36" s="86"/>
      <c r="I36" s="86"/>
    </row>
    <row r="37">
      <c r="A37" s="85" t="s">
        <v>180</v>
      </c>
      <c r="B37" s="89">
        <f>B29*365*B36</f>
        <v>291297085.9</v>
      </c>
      <c r="C37" s="86"/>
      <c r="D37" s="86"/>
      <c r="E37" s="86"/>
      <c r="F37" s="86"/>
      <c r="G37" s="86"/>
      <c r="H37" s="86"/>
      <c r="I37" s="86"/>
    </row>
    <row r="38">
      <c r="A38" s="86"/>
      <c r="B38" s="86"/>
      <c r="C38" s="86"/>
      <c r="D38" s="86"/>
      <c r="E38" s="86"/>
      <c r="F38" s="86"/>
      <c r="G38" s="86"/>
      <c r="H38" s="86"/>
      <c r="I38" s="86"/>
    </row>
  </sheetData>
  <mergeCells count="8">
    <mergeCell ref="A1:B1"/>
    <mergeCell ref="C1:D1"/>
    <mergeCell ref="G2:I2"/>
    <mergeCell ref="A14:B14"/>
    <mergeCell ref="C24:E24"/>
    <mergeCell ref="B26:F26"/>
    <mergeCell ref="D29:I29"/>
    <mergeCell ref="D30:E30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5" t="s">
        <v>181</v>
      </c>
    </row>
    <row r="2">
      <c r="A2" s="91"/>
      <c r="B2" s="86"/>
      <c r="C2" s="86"/>
    </row>
    <row r="3">
      <c r="A3" s="85" t="s">
        <v>150</v>
      </c>
      <c r="B3" s="89">
        <f>LCOW_Inputs!B9</f>
        <v>291297085.9</v>
      </c>
      <c r="C3" s="86"/>
    </row>
    <row r="4">
      <c r="A4" s="85" t="s">
        <v>182</v>
      </c>
      <c r="B4" s="89">
        <f>LCOW_Inputs!B17 * LCOW_Inputs!B19</f>
        <v>68648413.78</v>
      </c>
      <c r="C4" s="86"/>
      <c r="D4" s="15" t="s">
        <v>183</v>
      </c>
      <c r="E4" s="15">
        <f t="shared" ref="E4:E9" si="1">B4/$B$3</f>
        <v>0.2356646087</v>
      </c>
    </row>
    <row r="5">
      <c r="A5" s="85" t="s">
        <v>184</v>
      </c>
      <c r="B5" s="89">
        <f>LCOW_Inputs!B20 * LCOW_Inputs!B19</f>
        <v>24000000</v>
      </c>
      <c r="C5" s="86"/>
      <c r="D5" s="15" t="s">
        <v>185</v>
      </c>
      <c r="E5" s="15">
        <f t="shared" si="1"/>
        <v>0.0823901136</v>
      </c>
    </row>
    <row r="6">
      <c r="A6" s="85" t="s">
        <v>186</v>
      </c>
      <c r="B6" s="89">
        <f>LCOW_Inputs!B21 * B3</f>
        <v>58259417.18</v>
      </c>
      <c r="C6" s="86"/>
      <c r="D6" s="15" t="s">
        <v>187</v>
      </c>
      <c r="E6" s="15">
        <f t="shared" si="1"/>
        <v>0.2</v>
      </c>
    </row>
    <row r="7">
      <c r="A7" s="85" t="s">
        <v>188</v>
      </c>
      <c r="B7" s="89">
        <f>LCOW_Inputs!B22 * LCOW_Inputs!B23 * B3</f>
        <v>30586194.02</v>
      </c>
      <c r="C7" s="86"/>
      <c r="D7" s="15" t="s">
        <v>189</v>
      </c>
      <c r="E7" s="15">
        <f t="shared" si="1"/>
        <v>0.105</v>
      </c>
    </row>
    <row r="8">
      <c r="A8" s="85" t="s">
        <v>190</v>
      </c>
      <c r="B8" s="89">
        <f>LCOW_Inputs!B12 * LCOW_Inputs!B24 * B3</f>
        <v>0</v>
      </c>
      <c r="C8" s="86"/>
      <c r="D8" s="15" t="s">
        <v>191</v>
      </c>
      <c r="E8" s="15">
        <f t="shared" si="1"/>
        <v>0</v>
      </c>
    </row>
    <row r="9">
      <c r="A9" s="85" t="s">
        <v>192</v>
      </c>
      <c r="B9" s="89">
        <f>B4 + B5 + B6 + B7 + B8</f>
        <v>181494025</v>
      </c>
      <c r="C9" s="86"/>
      <c r="D9" s="15" t="s">
        <v>193</v>
      </c>
      <c r="E9" s="15">
        <f t="shared" si="1"/>
        <v>0.6230547223</v>
      </c>
    </row>
    <row r="10">
      <c r="A10" s="85" t="s">
        <v>194</v>
      </c>
      <c r="B10" s="89">
        <f>B9 / B3</f>
        <v>0.6230547223</v>
      </c>
      <c r="C10" s="86"/>
    </row>
    <row r="14">
      <c r="A14" s="86"/>
      <c r="B14" s="85" t="s">
        <v>195</v>
      </c>
      <c r="C14" s="85" t="s">
        <v>196</v>
      </c>
      <c r="D14" s="85" t="s">
        <v>197</v>
      </c>
      <c r="E14" s="85" t="s">
        <v>198</v>
      </c>
      <c r="F14" s="85" t="s">
        <v>68</v>
      </c>
    </row>
    <row r="15">
      <c r="A15" s="85" t="s">
        <v>199</v>
      </c>
      <c r="B15" s="89">
        <f>E4</f>
        <v>0.2356646087</v>
      </c>
      <c r="C15" s="92">
        <f>E5</f>
        <v>0.0823901136</v>
      </c>
      <c r="D15" s="89">
        <f>E6</f>
        <v>0.2</v>
      </c>
      <c r="E15" s="92">
        <f>E7</f>
        <v>0.105</v>
      </c>
      <c r="F15" s="93">
        <f>SUM(B15:E15)</f>
        <v>0.6230547223</v>
      </c>
    </row>
    <row r="16">
      <c r="A16" s="85" t="s">
        <v>200</v>
      </c>
      <c r="B16" s="89">
        <f>LCOW_RO!B11</f>
        <v>0.3134630766</v>
      </c>
      <c r="C16" s="89">
        <f>LCOW_RO!B12</f>
        <v>0.1095890411</v>
      </c>
      <c r="D16" s="89">
        <f>LCOW_RO!B13</f>
        <v>0.15</v>
      </c>
      <c r="E16" s="89">
        <f>LCOW_RO!B14</f>
        <v>0.245</v>
      </c>
      <c r="F16" s="93">
        <f>ROUND(SUM(B16:E16),2)</f>
        <v>0.82</v>
      </c>
    </row>
  </sheetData>
  <mergeCells count="1">
    <mergeCell ref="A1:C1"/>
  </mergeCells>
  <drawing r:id="rId1"/>
</worksheet>
</file>